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Kranich\Desktop\"/>
    </mc:Choice>
  </mc:AlternateContent>
  <xr:revisionPtr revIDLastSave="0" documentId="8_{23F1DE3C-76AF-494C-9262-611438E8086C}" xr6:coauthVersionLast="47" xr6:coauthVersionMax="47" xr10:uidLastSave="{00000000-0000-0000-0000-000000000000}"/>
  <bookViews>
    <workbookView xWindow="-120" yWindow="-120" windowWidth="29040" windowHeight="15720" activeTab="1" xr2:uid="{B621F628-A0EE-4389-BE09-110FB7A6C655}"/>
  </bookViews>
  <sheets>
    <sheet name="C&amp;I Tranche 2 (2024)" sheetId="8" r:id="rId1"/>
    <sheet name="Residential 1-4 Family (2024)" sheetId="1" r:id="rId2"/>
    <sheet name="Picklists" sheetId="4" r:id="rId3"/>
  </sheets>
  <definedNames>
    <definedName name="Annual_Average_Demand_kW">'C&amp;I Tranche 2 (2024)'!$C$14</definedName>
    <definedName name="Customer_Class">'C&amp;I Tranche 2 (2024)'!$E$69</definedName>
    <definedName name="kWh_kW_Ratio">'C&amp;I Tranche 2 (2024)'!$E$71</definedName>
    <definedName name="Large_Tier">'C&amp;I Tranche 2 (2024)'!$E$74</definedName>
    <definedName name="Medium_Tier">'C&amp;I Tranche 2 (2024)'!$E$73</definedName>
    <definedName name="Nameplate_Energy_Capacity_kW">'C&amp;I Tranche 2 (2024)'!$C$11</definedName>
    <definedName name="Nameplate_Power_kW">'C&amp;I Tranche 2 (2024)'!$C$10</definedName>
    <definedName name="Small_Tier">'C&amp;I Tranche 2 (2024)'!$E$72</definedName>
    <definedName name="Total_System_Cost">'C&amp;I Tranche 2 (2024)'!$C$12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E20" i="1" s="1"/>
  <c r="I25" i="8"/>
  <c r="C16" i="8" s="1"/>
  <c r="J35" i="8"/>
  <c r="J32" i="8"/>
  <c r="J33" i="8"/>
  <c r="J34" i="8"/>
  <c r="J36" i="8"/>
  <c r="J37" i="8"/>
  <c r="J38" i="8"/>
  <c r="J39" i="8"/>
  <c r="J40" i="8"/>
  <c r="J41" i="8"/>
  <c r="E71" i="8"/>
  <c r="E70" i="8"/>
  <c r="E69" i="8"/>
  <c r="E72" i="8" l="1"/>
  <c r="E73" i="8"/>
  <c r="E74" i="8" l="1"/>
  <c r="E77" i="8" s="1"/>
  <c r="F19" i="8" s="1"/>
  <c r="C11" i="1"/>
  <c r="C23" i="1"/>
  <c r="E21" i="1"/>
  <c r="D32" i="8"/>
  <c r="D33" i="8" s="1"/>
  <c r="D34" i="8" s="1"/>
  <c r="D35" i="8" s="1"/>
  <c r="D36" i="8" s="1"/>
  <c r="D37" i="8" s="1"/>
  <c r="D38" i="8" s="1"/>
  <c r="D39" i="8" s="1"/>
  <c r="D40" i="8" s="1"/>
  <c r="D41" i="8" s="1"/>
  <c r="E41" i="8" s="1"/>
  <c r="F41" i="8" s="1"/>
  <c r="D38" i="1"/>
  <c r="D39" i="1" s="1"/>
  <c r="E39" i="1" s="1"/>
  <c r="K39" i="1" s="1"/>
  <c r="G41" i="8" l="1"/>
  <c r="E75" i="8"/>
  <c r="C6" i="8"/>
  <c r="F25" i="1"/>
  <c r="F24" i="1" s="1"/>
  <c r="F26" i="1" s="1"/>
  <c r="E38" i="1"/>
  <c r="E38" i="8"/>
  <c r="F38" i="8" s="1"/>
  <c r="E36" i="8"/>
  <c r="E34" i="8"/>
  <c r="E37" i="8"/>
  <c r="F37" i="8" s="1"/>
  <c r="E32" i="8"/>
  <c r="E33" i="8"/>
  <c r="E35" i="8"/>
  <c r="E40" i="8"/>
  <c r="F40" i="8" s="1"/>
  <c r="E39" i="8"/>
  <c r="F39" i="8" s="1"/>
  <c r="C18" i="8"/>
  <c r="D40" i="1"/>
  <c r="E40" i="1" s="1"/>
  <c r="K40" i="1" s="1"/>
  <c r="G38" i="8" l="1"/>
  <c r="G39" i="8"/>
  <c r="G40" i="8"/>
  <c r="G37" i="8"/>
  <c r="G34" i="8"/>
  <c r="F34" i="8"/>
  <c r="F35" i="8"/>
  <c r="G35" i="8"/>
  <c r="G33" i="8"/>
  <c r="F33" i="8"/>
  <c r="G36" i="8"/>
  <c r="F36" i="8"/>
  <c r="G32" i="8"/>
  <c r="F32" i="8"/>
  <c r="I42" i="8" s="1"/>
  <c r="G38" i="1"/>
  <c r="K38" i="1"/>
  <c r="F38" i="1"/>
  <c r="G40" i="1"/>
  <c r="D41" i="1"/>
  <c r="E41" i="1" s="1"/>
  <c r="K41" i="1" s="1"/>
  <c r="G39" i="1"/>
  <c r="F39" i="1"/>
  <c r="I49" i="1" l="1"/>
  <c r="F28" i="1" s="1"/>
  <c r="F20" i="8"/>
  <c r="H38" i="1"/>
  <c r="F40" i="1"/>
  <c r="D42" i="1"/>
  <c r="E42" i="1" s="1"/>
  <c r="K42" i="1" s="1"/>
  <c r="F41" i="1" l="1"/>
  <c r="G41" i="1"/>
  <c r="D43" i="1"/>
  <c r="E43" i="1" s="1"/>
  <c r="H39" i="1"/>
  <c r="K43" i="1" l="1"/>
  <c r="F43" i="1"/>
  <c r="H41" i="1"/>
  <c r="D44" i="1"/>
  <c r="E44" i="1" s="1"/>
  <c r="G42" i="1"/>
  <c r="F42" i="1"/>
  <c r="H40" i="1"/>
  <c r="K44" i="1" l="1"/>
  <c r="F44" i="1"/>
  <c r="H42" i="1"/>
  <c r="G43" i="1"/>
  <c r="D45" i="1"/>
  <c r="E45" i="1" s="1"/>
  <c r="K45" i="1" l="1"/>
  <c r="F45" i="1"/>
  <c r="H43" i="1"/>
  <c r="D46" i="1"/>
  <c r="E46" i="1" s="1"/>
  <c r="G44" i="1"/>
  <c r="K46" i="1" l="1"/>
  <c r="F46" i="1"/>
  <c r="H44" i="1"/>
  <c r="G45" i="1"/>
  <c r="D47" i="1"/>
  <c r="E47" i="1" s="1"/>
  <c r="K47" i="1" l="1"/>
  <c r="F47" i="1"/>
  <c r="H45" i="1"/>
  <c r="G46" i="1"/>
  <c r="G47" i="1"/>
  <c r="H47" i="1" l="1"/>
  <c r="H46" i="1"/>
  <c r="J38" i="1" l="1"/>
  <c r="H48" i="1"/>
  <c r="F27" i="1" l="1"/>
  <c r="H32" i="8"/>
  <c r="H34" i="8"/>
  <c r="H40" i="8"/>
  <c r="H35" i="8"/>
  <c r="H39" i="8"/>
  <c r="H36" i="8"/>
  <c r="H33" i="8"/>
  <c r="H38" i="8"/>
  <c r="H41" i="8"/>
  <c r="H37" i="8"/>
  <c r="H42" i="8" l="1"/>
  <c r="F21" i="8" l="1"/>
  <c r="F22" i="8"/>
</calcChain>
</file>

<file path=xl/sharedStrings.xml><?xml version="1.0" encoding="utf-8"?>
<sst xmlns="http://schemas.openxmlformats.org/spreadsheetml/2006/main" count="205" uniqueCount="140">
  <si>
    <t>Residential Incentive Estimate Calculator</t>
  </si>
  <si>
    <t>INSTRUCTIONS: Complete the orange shaded fields 1-6. Optionally, edit the values in fields 7-9.</t>
  </si>
  <si>
    <t>Battery System Inputs</t>
  </si>
  <si>
    <r>
      <t xml:space="preserve">kW </t>
    </r>
    <r>
      <rPr>
        <b/>
        <sz val="9"/>
        <rFont val="Arial"/>
        <family val="2"/>
      </rPr>
      <t>(Total BESS Nameplate Continuous Power)</t>
    </r>
  </si>
  <si>
    <t>kWh (Total BESS Nameplate Energy Capacity)</t>
  </si>
  <si>
    <t>Total BESS Cost (Not including solar PV)</t>
  </si>
  <si>
    <t>Customer Class Inputs</t>
  </si>
  <si>
    <t>N/A</t>
  </si>
  <si>
    <t>Underserved Community?</t>
  </si>
  <si>
    <t>Yes</t>
  </si>
  <si>
    <t>Low Income?</t>
  </si>
  <si>
    <t>Grid-Edge?</t>
  </si>
  <si>
    <t>Your Estimated Upfront Incentive</t>
  </si>
  <si>
    <t>Rate ($ per kWh)</t>
  </si>
  <si>
    <t>Upfront Incentive Calculation</t>
  </si>
  <si>
    <t>Your Estimated 10-Year Performance Incentive Total (Nominal)</t>
  </si>
  <si>
    <t>PBI Estimation Method</t>
  </si>
  <si>
    <t>Active Dispatch Assumptions</t>
  </si>
  <si>
    <t>Annual Degradation of Battery</t>
  </si>
  <si>
    <t>Default value 2.5%, varies by manufacturer.</t>
  </si>
  <si>
    <t>Maximum Depth of Discharge</t>
  </si>
  <si>
    <t>Default value 80%, varies by manufacturer.</t>
  </si>
  <si>
    <t>Participation Rate</t>
  </si>
  <si>
    <t>10 Year PBI Estimate</t>
  </si>
  <si>
    <t>Max Battery Capacity (kWh)</t>
  </si>
  <si>
    <t>Average kW</t>
  </si>
  <si>
    <t>Summer</t>
  </si>
  <si>
    <t>Winter</t>
  </si>
  <si>
    <t>Total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</si>
  <si>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</si>
  <si>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</si>
  <si>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</si>
  <si>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</si>
  <si>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</si>
  <si>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</si>
  <si>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</si>
  <si>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</si>
  <si>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</si>
  <si>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</si>
  <si>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Revised</t>
  </si>
  <si>
    <t>C&amp;I Incentive Estimate Calculator</t>
  </si>
  <si>
    <t>INSTRUCTIONS: Complete the orange shaded fields 1-5. Optionally, edit the values in fields 6-8.</t>
  </si>
  <si>
    <t>kW (Total BESS Nameplate Continuous Power)</t>
  </si>
  <si>
    <t>Total BESS Cost</t>
  </si>
  <si>
    <t>Annual Peak Demand (kW)</t>
  </si>
  <si>
    <t>Grid-Edge</t>
  </si>
  <si>
    <t>Priority Status</t>
  </si>
  <si>
    <t>1.5x / 2 MW Incentive Cap</t>
  </si>
  <si>
    <t>Your Estimated Upfront Incentive (Tiered)</t>
  </si>
  <si>
    <t>Upfront Incentive Method</t>
  </si>
  <si>
    <t>Annual Degradation</t>
  </si>
  <si>
    <t>Maximum DoD</t>
  </si>
  <si>
    <t>Participation</t>
  </si>
  <si>
    <t>Inverter Output</t>
  </si>
  <si>
    <t>Calculations</t>
  </si>
  <si>
    <t>Customer Class</t>
  </si>
  <si>
    <t>Inverter to Demand Ratio</t>
  </si>
  <si>
    <t>kWh/kW Ratio</t>
  </si>
  <si>
    <t>Small Tier</t>
  </si>
  <si>
    <t>Medium Tier</t>
  </si>
  <si>
    <t>Large Tier</t>
  </si>
  <si>
    <t>Estimated Upfront Incentive</t>
  </si>
  <si>
    <t>Y/N</t>
  </si>
  <si>
    <t>PARTICIPATION</t>
  </si>
  <si>
    <t>DEGRADATION</t>
  </si>
  <si>
    <t>RATE</t>
  </si>
  <si>
    <t>CI PRIORITY</t>
  </si>
  <si>
    <t>PRIORITY</t>
  </si>
  <si>
    <t>2023 DISTRESSED MUNICIPALITY</t>
  </si>
  <si>
    <t>ITC ADDER</t>
  </si>
  <si>
    <t>Tiered Rate</t>
  </si>
  <si>
    <t>None</t>
  </si>
  <si>
    <t>Standard</t>
  </si>
  <si>
    <t>No</t>
  </si>
  <si>
    <t>Single Rate</t>
  </si>
  <si>
    <t>Underserved</t>
  </si>
  <si>
    <t>Ansonia</t>
  </si>
  <si>
    <t>Critical Facility</t>
  </si>
  <si>
    <t>Low-Income</t>
  </si>
  <si>
    <t>Bridgeport</t>
  </si>
  <si>
    <t>2023 Distressed Municipalities - Alphabetical</t>
  </si>
  <si>
    <t>Formerly Distressed Muncipalities with Eligibility Remaining</t>
  </si>
  <si>
    <t>Small Business</t>
  </si>
  <si>
    <t>MFAH</t>
  </si>
  <si>
    <t>Bristol (Expires 10/4/2028)</t>
  </si>
  <si>
    <t>Municipality</t>
  </si>
  <si>
    <t>Score</t>
  </si>
  <si>
    <t>Rank</t>
  </si>
  <si>
    <t>Eligibility End Date</t>
  </si>
  <si>
    <t>Replacing Generator</t>
  </si>
  <si>
    <t>Chaplin</t>
  </si>
  <si>
    <t>Enfield</t>
  </si>
  <si>
    <t>8/6/2024</t>
  </si>
  <si>
    <t>Derby</t>
  </si>
  <si>
    <t>Killingly</t>
  </si>
  <si>
    <t>9/16/2025</t>
  </si>
  <si>
    <t>East Hartford</t>
  </si>
  <si>
    <t>Naugatuck</t>
  </si>
  <si>
    <t>East Haven</t>
  </si>
  <si>
    <t>New Haven</t>
  </si>
  <si>
    <t>9/10/2026</t>
  </si>
  <si>
    <t>Preston</t>
  </si>
  <si>
    <t>Griswold</t>
  </si>
  <si>
    <t>Stratford</t>
  </si>
  <si>
    <t>10/3/2027</t>
  </si>
  <si>
    <t>Groton (Expires 10/4/2028)</t>
  </si>
  <si>
    <t>Bristol</t>
  </si>
  <si>
    <t>10/4/2028</t>
  </si>
  <si>
    <t>Hartford</t>
  </si>
  <si>
    <t>Groton</t>
  </si>
  <si>
    <t>Killingly (Expires 9/16/2025)</t>
  </si>
  <si>
    <t>Lisbon</t>
  </si>
  <si>
    <t>North Stonington</t>
  </si>
  <si>
    <t>Mansfield</t>
  </si>
  <si>
    <t>Plainfield</t>
  </si>
  <si>
    <t>Meriden</t>
  </si>
  <si>
    <t>Montville</t>
  </si>
  <si>
    <t>New Britain</t>
  </si>
  <si>
    <t>Naugatuck (Expires 9/16/2025)</t>
  </si>
  <si>
    <t>New London</t>
  </si>
  <si>
    <t>Norwich</t>
  </si>
  <si>
    <t>New Haven (Expires 9/10/2026)</t>
  </si>
  <si>
    <t>Plymouth</t>
  </si>
  <si>
    <t>Putnam</t>
  </si>
  <si>
    <t>North Stonington (Expires 10/4/2028)</t>
  </si>
  <si>
    <t>Sprague</t>
  </si>
  <si>
    <t>Sterling</t>
  </si>
  <si>
    <t>Plainfield (Expires 10/4/2028)</t>
  </si>
  <si>
    <t>Torrington</t>
  </si>
  <si>
    <t>Voluntown</t>
  </si>
  <si>
    <t>Preston (Expires 9/10/2026)</t>
  </si>
  <si>
    <t>Waterbury</t>
  </si>
  <si>
    <t>West Haven</t>
  </si>
  <si>
    <t>Winchester</t>
  </si>
  <si>
    <t>Windham</t>
  </si>
  <si>
    <t>Stratford (Expires 10/3/2027)</t>
  </si>
  <si>
    <t>Total Est. PBI</t>
  </si>
  <si>
    <t>Default value 75%, varies based on weather, recharge rate, number and timing of events, and customer opt-out per-event. Estimated number of active events is 30-60 per summer and 1-5 per winter. All events estimated at 3 hours each.</t>
  </si>
  <si>
    <t>CI PRIORITY2</t>
  </si>
  <si>
    <r>
      <rPr>
        <b/>
        <sz val="10"/>
        <color rgb="FFFF0000"/>
        <rFont val="Arial"/>
        <family val="2"/>
      </rPr>
      <t>Note</t>
    </r>
    <r>
      <rPr>
        <sz val="10"/>
        <rFont val="Arial"/>
        <family val="2"/>
      </rPr>
      <t>: C&amp;I Upfront Incentives (not including multifamily affordable housing) are paused as of June 22, 2024. Incentive approvals will resume with the start of Tranche 3, expected January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</si>
</sst>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_);_(* \(#,##0.0\);_(* &quot;-&quot;??_);_(@_)"/>
    <numFmt numFmtId="166" formatCode="_(* #,##0_);_(* \(#,##0\);_(* &quot;-&quot;??_);_(@_)"/>
    <numFmt numFmtId="167" formatCode="_(* #,##0.0_);_(* \(#,##0.0\);_(* &quot;-&quot;?_);_(@_)"/>
    <numFmt numFmtId="168" formatCode="0.0%"/>
    <numFmt numFmtId="169" formatCode="0.0"/>
  </numFmts>
  <fonts count="3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3F3F76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rgb="FF3F3F3F"/>
      <name val="Arial"/>
      <family val="2"/>
    </font>
    <font>
      <i/>
      <sz val="8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i/>
      <sz val="9"/>
      <name val="Arial"/>
      <family val="2"/>
    </font>
    <font>
      <sz val="10"/>
      <color rgb="FF9C5700"/>
      <name val="Arial"/>
      <family val="2"/>
    </font>
    <font>
      <i/>
      <sz val="10"/>
      <color rgb="FF7F7F7F"/>
      <name val="Arial"/>
      <family val="2"/>
    </font>
    <font>
      <i/>
      <sz val="8"/>
      <color rgb="FF7F7F7F"/>
      <name val="Arial"/>
      <family val="2"/>
    </font>
    <font>
      <b/>
      <sz val="10"/>
      <color rgb="FFFA7D0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u/>
      <sz val="10"/>
      <color theme="10"/>
      <name val="Arial"/>
      <family val="2"/>
    </font>
    <font>
      <b/>
      <sz val="9"/>
      <name val="Arial"/>
      <family val="2"/>
    </font>
    <font>
      <i/>
      <sz val="8"/>
      <color theme="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rgb="FF7F7F7F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7" fillId="0" borderId="0"/>
    <xf numFmtId="0" fontId="6" fillId="4" borderId="8" applyNumberFormat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9" borderId="11" applyNumberFormat="0" applyAlignment="0" applyProtection="0"/>
    <xf numFmtId="0" fontId="18" fillId="10" borderId="0" applyNumberFormat="0" applyBorder="0" applyAlignment="0" applyProtection="0"/>
    <xf numFmtId="0" fontId="19" fillId="0" borderId="0" applyNumberFormat="0" applyFill="0" applyBorder="0" applyAlignment="0" applyProtection="0"/>
    <xf numFmtId="0" fontId="21" fillId="9" borderId="1" applyNumberFormat="0" applyAlignment="0" applyProtection="0"/>
    <xf numFmtId="0" fontId="26" fillId="0" borderId="0" applyNumberFormat="0" applyFill="0" applyBorder="0" applyAlignment="0" applyProtection="0"/>
  </cellStyleXfs>
  <cellXfs count="145">
    <xf numFmtId="0" fontId="0" fillId="0" borderId="0" xfId="0"/>
    <xf numFmtId="9" fontId="0" fillId="0" borderId="0" xfId="0" applyNumberFormat="1"/>
    <xf numFmtId="0" fontId="3" fillId="0" borderId="0" xfId="0" applyFont="1"/>
    <xf numFmtId="168" fontId="0" fillId="0" borderId="0" xfId="0" applyNumberFormat="1"/>
    <xf numFmtId="0" fontId="8" fillId="2" borderId="12" xfId="2" applyFont="1" applyBorder="1" applyAlignment="1" applyProtection="1">
      <alignment horizontal="right"/>
      <protection locked="0"/>
    </xf>
    <xf numFmtId="0" fontId="8" fillId="2" borderId="13" xfId="2" applyFont="1" applyBorder="1" applyAlignment="1" applyProtection="1">
      <alignment horizontal="right"/>
      <protection locked="0"/>
    </xf>
    <xf numFmtId="164" fontId="8" fillId="2" borderId="13" xfId="2" applyNumberFormat="1" applyFont="1" applyBorder="1" applyAlignment="1" applyProtection="1">
      <alignment horizontal="right"/>
      <protection locked="0"/>
    </xf>
    <xf numFmtId="166" fontId="8" fillId="2" borderId="13" xfId="6" applyNumberFormat="1" applyFont="1" applyFill="1" applyBorder="1" applyAlignment="1" applyProtection="1">
      <alignment horizontal="center"/>
      <protection locked="0"/>
    </xf>
    <xf numFmtId="164" fontId="8" fillId="2" borderId="14" xfId="2" applyNumberFormat="1" applyFont="1" applyBorder="1" applyAlignment="1" applyProtection="1">
      <alignment horizontal="right"/>
      <protection locked="0"/>
    </xf>
    <xf numFmtId="165" fontId="8" fillId="2" borderId="1" xfId="6" applyNumberFormat="1" applyFont="1" applyFill="1" applyBorder="1" applyAlignment="1" applyProtection="1">
      <alignment horizontal="center"/>
      <protection locked="0"/>
    </xf>
    <xf numFmtId="164" fontId="8" fillId="2" borderId="1" xfId="2" applyNumberFormat="1" applyFont="1" applyAlignment="1" applyProtection="1">
      <alignment horizontal="center"/>
      <protection locked="0"/>
    </xf>
    <xf numFmtId="43" fontId="8" fillId="2" borderId="1" xfId="6" applyFont="1" applyFill="1" applyBorder="1" applyAlignment="1" applyProtection="1">
      <alignment horizontal="center"/>
      <protection locked="0"/>
    </xf>
    <xf numFmtId="168" fontId="8" fillId="2" borderId="2" xfId="5" applyNumberFormat="1" applyFont="1" applyFill="1" applyBorder="1" applyAlignment="1" applyProtection="1">
      <alignment horizontal="center"/>
      <protection locked="0"/>
    </xf>
    <xf numFmtId="9" fontId="8" fillId="2" borderId="2" xfId="5" applyFont="1" applyFill="1" applyBorder="1" applyAlignment="1" applyProtection="1">
      <alignment horizontal="center"/>
      <protection locked="0"/>
    </xf>
    <xf numFmtId="168" fontId="2" fillId="2" borderId="1" xfId="2" applyNumberFormat="1" applyAlignment="1" applyProtection="1">
      <alignment horizontal="center"/>
      <protection locked="0"/>
    </xf>
    <xf numFmtId="9" fontId="2" fillId="2" borderId="1" xfId="2" applyNumberFormat="1" applyAlignment="1" applyProtection="1">
      <alignment horizontal="center"/>
      <protection locked="0"/>
    </xf>
    <xf numFmtId="0" fontId="8" fillId="0" borderId="0" xfId="0" applyFont="1"/>
    <xf numFmtId="0" fontId="8" fillId="8" borderId="2" xfId="0" applyFont="1" applyFill="1" applyBorder="1"/>
    <xf numFmtId="0" fontId="9" fillId="0" borderId="2" xfId="0" applyFont="1" applyBorder="1" applyAlignment="1">
      <alignment horizontal="center"/>
    </xf>
    <xf numFmtId="0" fontId="12" fillId="0" borderId="0" xfId="9" applyFont="1" applyAlignment="1" applyProtection="1">
      <alignment vertical="top"/>
    </xf>
    <xf numFmtId="0" fontId="8" fillId="0" borderId="0" xfId="0" applyFont="1" applyAlignment="1">
      <alignment horizontal="center" vertical="top" wrapText="1"/>
    </xf>
    <xf numFmtId="0" fontId="9" fillId="9" borderId="11" xfId="7" applyFont="1" applyAlignment="1" applyProtection="1">
      <alignment horizontal="center"/>
    </xf>
    <xf numFmtId="44" fontId="8" fillId="0" borderId="0" xfId="1" applyFont="1" applyProtection="1"/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wrapText="1"/>
    </xf>
    <xf numFmtId="164" fontId="4" fillId="0" borderId="2" xfId="1" applyNumberFormat="1" applyFont="1" applyBorder="1" applyAlignment="1" applyProtection="1">
      <alignment horizontal="center" vertical="center" wrapText="1"/>
    </xf>
    <xf numFmtId="167" fontId="8" fillId="0" borderId="0" xfId="0" applyNumberFormat="1" applyFont="1"/>
    <xf numFmtId="0" fontId="12" fillId="0" borderId="18" xfId="9" applyFont="1" applyBorder="1" applyAlignment="1" applyProtection="1">
      <alignment vertical="center" wrapText="1"/>
    </xf>
    <xf numFmtId="0" fontId="12" fillId="0" borderId="0" xfId="9" applyFont="1" applyBorder="1" applyAlignment="1" applyProtection="1">
      <alignment vertical="center" wrapText="1"/>
    </xf>
    <xf numFmtId="0" fontId="10" fillId="11" borderId="0" xfId="0" applyFont="1" applyFill="1"/>
    <xf numFmtId="165" fontId="8" fillId="0" borderId="0" xfId="6" applyNumberFormat="1" applyFont="1" applyBorder="1" applyProtection="1"/>
    <xf numFmtId="0" fontId="9" fillId="0" borderId="2" xfId="0" applyFont="1" applyBorder="1" applyAlignment="1">
      <alignment horizontal="left"/>
    </xf>
    <xf numFmtId="0" fontId="12" fillId="0" borderId="0" xfId="9" applyFont="1" applyBorder="1" applyAlignment="1" applyProtection="1">
      <alignment vertical="top" wrapText="1"/>
    </xf>
    <xf numFmtId="0" fontId="8" fillId="0" borderId="0" xfId="0" applyFont="1" applyAlignment="1">
      <alignment vertical="top"/>
    </xf>
    <xf numFmtId="165" fontId="8" fillId="0" borderId="0" xfId="0" applyNumberFormat="1" applyFont="1"/>
    <xf numFmtId="44" fontId="0" fillId="0" borderId="0" xfId="0" applyNumberFormat="1"/>
    <xf numFmtId="0" fontId="10" fillId="0" borderId="0" xfId="0" applyFont="1"/>
    <xf numFmtId="0" fontId="9" fillId="0" borderId="2" xfId="0" applyFont="1" applyBorder="1"/>
    <xf numFmtId="164" fontId="9" fillId="0" borderId="6" xfId="0" applyNumberFormat="1" applyFont="1" applyBorder="1"/>
    <xf numFmtId="165" fontId="8" fillId="0" borderId="6" xfId="0" applyNumberFormat="1" applyFont="1" applyBorder="1"/>
    <xf numFmtId="43" fontId="8" fillId="0" borderId="0" xfId="6" applyFont="1" applyProtection="1"/>
    <xf numFmtId="164" fontId="8" fillId="0" borderId="4" xfId="1" applyNumberFormat="1" applyFont="1" applyFill="1" applyBorder="1" applyProtection="1"/>
    <xf numFmtId="164" fontId="8" fillId="0" borderId="4" xfId="0" applyNumberFormat="1" applyFont="1" applyBorder="1"/>
    <xf numFmtId="165" fontId="10" fillId="0" borderId="0" xfId="0" applyNumberFormat="1" applyFont="1"/>
    <xf numFmtId="164" fontId="9" fillId="0" borderId="4" xfId="0" applyNumberFormat="1" applyFont="1" applyBorder="1"/>
    <xf numFmtId="165" fontId="8" fillId="0" borderId="4" xfId="0" applyNumberFormat="1" applyFont="1" applyBorder="1"/>
    <xf numFmtId="164" fontId="9" fillId="0" borderId="5" xfId="0" applyNumberFormat="1" applyFont="1" applyBorder="1"/>
    <xf numFmtId="165" fontId="8" fillId="0" borderId="5" xfId="0" applyNumberFormat="1" applyFont="1" applyBorder="1"/>
    <xf numFmtId="43" fontId="8" fillId="0" borderId="20" xfId="6" applyFont="1" applyBorder="1" applyProtection="1"/>
    <xf numFmtId="164" fontId="8" fillId="0" borderId="5" xfId="1" applyNumberFormat="1" applyFont="1" applyFill="1" applyBorder="1" applyProtection="1"/>
    <xf numFmtId="164" fontId="8" fillId="0" borderId="5" xfId="0" applyNumberFormat="1" applyFont="1" applyBorder="1"/>
    <xf numFmtId="164" fontId="8" fillId="0" borderId="0" xfId="0" applyNumberFormat="1" applyFont="1"/>
    <xf numFmtId="164" fontId="9" fillId="0" borderId="19" xfId="0" applyNumberFormat="1" applyFont="1" applyBorder="1"/>
    <xf numFmtId="164" fontId="8" fillId="0" borderId="3" xfId="1" applyNumberFormat="1" applyFont="1" applyFill="1" applyBorder="1" applyAlignment="1" applyProtection="1"/>
    <xf numFmtId="164" fontId="9" fillId="0" borderId="7" xfId="0" applyNumberFormat="1" applyFont="1" applyBorder="1"/>
    <xf numFmtId="0" fontId="8" fillId="5" borderId="9" xfId="0" applyFont="1" applyFill="1" applyBorder="1" applyAlignment="1">
      <alignment horizontal="right"/>
    </xf>
    <xf numFmtId="14" fontId="8" fillId="5" borderId="10" xfId="0" applyNumberFormat="1" applyFont="1" applyFill="1" applyBorder="1"/>
    <xf numFmtId="44" fontId="10" fillId="0" borderId="0" xfId="1" applyFont="1" applyProtection="1"/>
    <xf numFmtId="8" fontId="8" fillId="0" borderId="0" xfId="0" applyNumberFormat="1" applyFont="1"/>
    <xf numFmtId="164" fontId="16" fillId="7" borderId="2" xfId="1" applyNumberFormat="1" applyFont="1" applyFill="1" applyBorder="1" applyAlignment="1" applyProtection="1">
      <alignment vertical="center"/>
    </xf>
    <xf numFmtId="0" fontId="17" fillId="0" borderId="2" xfId="0" applyFont="1" applyBorder="1" applyAlignment="1">
      <alignment vertical="center"/>
    </xf>
    <xf numFmtId="44" fontId="17" fillId="0" borderId="2" xfId="0" applyNumberFormat="1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164" fontId="17" fillId="0" borderId="5" xfId="1" applyNumberFormat="1" applyFont="1" applyBorder="1" applyAlignment="1" applyProtection="1">
      <alignment horizontal="center" vertical="center" wrapText="1"/>
    </xf>
    <xf numFmtId="0" fontId="9" fillId="0" borderId="0" xfId="0" applyFont="1"/>
    <xf numFmtId="164" fontId="16" fillId="7" borderId="5" xfId="1" applyNumberFormat="1" applyFont="1" applyFill="1" applyBorder="1" applyAlignment="1" applyProtection="1">
      <alignment vertical="center"/>
    </xf>
    <xf numFmtId="0" fontId="12" fillId="0" borderId="0" xfId="0" applyFont="1"/>
    <xf numFmtId="0" fontId="20" fillId="0" borderId="0" xfId="9" applyFont="1" applyAlignment="1" applyProtection="1">
      <alignment vertical="top"/>
    </xf>
    <xf numFmtId="0" fontId="4" fillId="0" borderId="0" xfId="0" applyFont="1" applyAlignment="1">
      <alignment vertical="top" wrapText="1"/>
    </xf>
    <xf numFmtId="0" fontId="4" fillId="0" borderId="21" xfId="0" applyFont="1" applyBorder="1" applyAlignment="1">
      <alignment vertical="top" wrapText="1"/>
    </xf>
    <xf numFmtId="8" fontId="10" fillId="0" borderId="0" xfId="0" applyNumberFormat="1" applyFont="1"/>
    <xf numFmtId="2" fontId="10" fillId="0" borderId="0" xfId="0" applyNumberFormat="1" applyFont="1"/>
    <xf numFmtId="0" fontId="5" fillId="0" borderId="0" xfId="0" applyFont="1"/>
    <xf numFmtId="164" fontId="14" fillId="12" borderId="2" xfId="1" applyNumberFormat="1" applyFont="1" applyFill="1" applyBorder="1" applyAlignment="1" applyProtection="1">
      <alignment vertical="center"/>
    </xf>
    <xf numFmtId="0" fontId="22" fillId="0" borderId="0" xfId="0" applyFont="1"/>
    <xf numFmtId="0" fontId="22" fillId="0" borderId="2" xfId="0" applyFont="1" applyBorder="1" applyAlignment="1">
      <alignment horizontal="center"/>
    </xf>
    <xf numFmtId="0" fontId="23" fillId="0" borderId="0" xfId="0" applyFont="1"/>
    <xf numFmtId="0" fontId="24" fillId="0" borderId="16" xfId="0" applyFont="1" applyBorder="1"/>
    <xf numFmtId="3" fontId="24" fillId="0" borderId="6" xfId="0" applyNumberFormat="1" applyFont="1" applyBorder="1"/>
    <xf numFmtId="0" fontId="24" fillId="0" borderId="17" xfId="0" applyFont="1" applyBorder="1"/>
    <xf numFmtId="0" fontId="24" fillId="0" borderId="2" xfId="0" applyFont="1" applyBorder="1" applyAlignment="1">
      <alignment horizontal="left"/>
    </xf>
    <xf numFmtId="14" fontId="25" fillId="0" borderId="2" xfId="0" applyNumberFormat="1" applyFont="1" applyBorder="1"/>
    <xf numFmtId="0" fontId="24" fillId="0" borderId="18" xfId="0" applyFont="1" applyBorder="1"/>
    <xf numFmtId="3" fontId="24" fillId="0" borderId="4" xfId="0" applyNumberFormat="1" applyFont="1" applyBorder="1"/>
    <xf numFmtId="0" fontId="24" fillId="0" borderId="22" xfId="0" applyFont="1" applyBorder="1"/>
    <xf numFmtId="0" fontId="24" fillId="0" borderId="19" xfId="0" applyFont="1" applyBorder="1"/>
    <xf numFmtId="3" fontId="24" fillId="0" borderId="5" xfId="0" applyNumberFormat="1" applyFont="1" applyBorder="1"/>
    <xf numFmtId="0" fontId="24" fillId="0" borderId="20" xfId="0" applyFont="1" applyBorder="1"/>
    <xf numFmtId="49" fontId="25" fillId="0" borderId="2" xfId="0" applyNumberFormat="1" applyFont="1" applyBorder="1"/>
    <xf numFmtId="0" fontId="26" fillId="0" borderId="2" xfId="11" applyBorder="1" applyAlignment="1">
      <alignment horizontal="left"/>
    </xf>
    <xf numFmtId="166" fontId="28" fillId="11" borderId="0" xfId="9" applyNumberFormat="1" applyFont="1" applyFill="1" applyBorder="1" applyAlignment="1" applyProtection="1">
      <alignment horizontal="center"/>
    </xf>
    <xf numFmtId="0" fontId="10" fillId="11" borderId="0" xfId="0" applyFont="1" applyFill="1" applyAlignment="1">
      <alignment vertical="center"/>
    </xf>
    <xf numFmtId="164" fontId="5" fillId="11" borderId="0" xfId="10" applyNumberFormat="1" applyFont="1" applyFill="1" applyBorder="1" applyAlignment="1" applyProtection="1">
      <alignment vertical="center"/>
    </xf>
    <xf numFmtId="0" fontId="12" fillId="0" borderId="0" xfId="9" applyFont="1" applyAlignment="1" applyProtection="1">
      <alignment vertical="top" wrapText="1"/>
    </xf>
    <xf numFmtId="0" fontId="12" fillId="0" borderId="18" xfId="9" applyFont="1" applyBorder="1" applyAlignment="1" applyProtection="1">
      <alignment vertical="top" wrapText="1"/>
    </xf>
    <xf numFmtId="0" fontId="8" fillId="11" borderId="0" xfId="0" applyFont="1" applyFill="1"/>
    <xf numFmtId="169" fontId="29" fillId="11" borderId="0" xfId="9" applyNumberFormat="1" applyFont="1" applyFill="1" applyBorder="1" applyAlignment="1" applyProtection="1">
      <alignment horizontal="center"/>
    </xf>
    <xf numFmtId="165" fontId="29" fillId="11" borderId="0" xfId="9" applyNumberFormat="1" applyFont="1" applyFill="1" applyBorder="1" applyAlignment="1" applyProtection="1">
      <alignment horizontal="right"/>
    </xf>
    <xf numFmtId="43" fontId="29" fillId="11" borderId="0" xfId="9" applyNumberFormat="1" applyFont="1" applyFill="1" applyBorder="1" applyAlignment="1" applyProtection="1">
      <alignment horizontal="right"/>
    </xf>
    <xf numFmtId="0" fontId="9" fillId="0" borderId="7" xfId="0" applyFont="1" applyBorder="1" applyAlignment="1">
      <alignment horizontal="left"/>
    </xf>
    <xf numFmtId="0" fontId="8" fillId="13" borderId="24" xfId="0" applyFont="1" applyFill="1" applyBorder="1" applyAlignment="1">
      <alignment horizontal="center" vertical="center" wrapText="1"/>
    </xf>
    <xf numFmtId="0" fontId="8" fillId="13" borderId="25" xfId="0" applyFont="1" applyFill="1" applyBorder="1" applyAlignment="1">
      <alignment horizontal="center" vertical="center" wrapText="1"/>
    </xf>
    <xf numFmtId="0" fontId="8" fillId="13" borderId="26" xfId="0" applyFont="1" applyFill="1" applyBorder="1" applyAlignment="1">
      <alignment horizontal="center" vertical="center" wrapText="1"/>
    </xf>
    <xf numFmtId="0" fontId="8" fillId="13" borderId="27" xfId="0" applyFont="1" applyFill="1" applyBorder="1" applyAlignment="1">
      <alignment horizontal="center" vertical="center" wrapText="1"/>
    </xf>
    <xf numFmtId="0" fontId="8" fillId="13" borderId="0" xfId="0" applyFont="1" applyFill="1" applyAlignment="1">
      <alignment horizontal="center" vertical="center" wrapText="1"/>
    </xf>
    <xf numFmtId="0" fontId="8" fillId="13" borderId="28" xfId="0" applyFont="1" applyFill="1" applyBorder="1" applyAlignment="1">
      <alignment horizontal="center" vertical="center" wrapText="1"/>
    </xf>
    <xf numFmtId="0" fontId="8" fillId="13" borderId="29" xfId="0" applyFont="1" applyFill="1" applyBorder="1" applyAlignment="1">
      <alignment horizontal="center" vertical="center" wrapText="1"/>
    </xf>
    <xf numFmtId="0" fontId="8" fillId="13" borderId="30" xfId="0" applyFont="1" applyFill="1" applyBorder="1" applyAlignment="1">
      <alignment horizontal="center" vertical="center" wrapText="1"/>
    </xf>
    <xf numFmtId="0" fontId="8" fillId="13" borderId="31" xfId="0" applyFont="1" applyFill="1" applyBorder="1" applyAlignment="1">
      <alignment horizontal="center" vertical="center" wrapText="1"/>
    </xf>
    <xf numFmtId="0" fontId="8" fillId="11" borderId="0" xfId="0" applyFont="1" applyFill="1" applyAlignment="1">
      <alignment horizontal="center" vertical="center" textRotation="90"/>
    </xf>
    <xf numFmtId="0" fontId="13" fillId="0" borderId="0" xfId="0" applyFont="1" applyAlignment="1">
      <alignment horizontal="center"/>
    </xf>
    <xf numFmtId="0" fontId="8" fillId="8" borderId="16" xfId="0" applyFont="1" applyFill="1" applyBorder="1" applyAlignment="1">
      <alignment horizontal="center" vertical="center" wrapText="1"/>
    </xf>
    <xf numFmtId="0" fontId="8" fillId="8" borderId="23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8" fillId="8" borderId="2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12" fillId="0" borderId="0" xfId="9" applyFont="1" applyBorder="1" applyAlignment="1" applyProtection="1">
      <alignment horizontal="left" vertical="top" wrapText="1"/>
    </xf>
    <xf numFmtId="0" fontId="9" fillId="0" borderId="2" xfId="0" applyFont="1" applyBorder="1" applyAlignment="1">
      <alignment horizontal="center"/>
    </xf>
    <xf numFmtId="0" fontId="13" fillId="3" borderId="2" xfId="0" applyFont="1" applyFill="1" applyBorder="1" applyAlignment="1">
      <alignment horizontal="center" vertical="center"/>
    </xf>
    <xf numFmtId="0" fontId="12" fillId="0" borderId="0" xfId="9" applyFont="1" applyAlignment="1" applyProtection="1">
      <alignment horizontal="left"/>
    </xf>
    <xf numFmtId="0" fontId="15" fillId="12" borderId="7" xfId="0" applyFont="1" applyFill="1" applyBorder="1" applyAlignment="1">
      <alignment horizontal="left" vertical="center"/>
    </xf>
    <xf numFmtId="0" fontId="15" fillId="12" borderId="15" xfId="0" applyFont="1" applyFill="1" applyBorder="1" applyAlignment="1">
      <alignment horizontal="left" vertical="center"/>
    </xf>
    <xf numFmtId="0" fontId="15" fillId="12" borderId="3" xfId="0" applyFont="1" applyFill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0" fillId="0" borderId="0" xfId="9" applyFont="1" applyAlignment="1" applyProtection="1">
      <alignment horizontal="left" vertical="top" wrapText="1"/>
    </xf>
    <xf numFmtId="0" fontId="20" fillId="0" borderId="21" xfId="9" applyFont="1" applyBorder="1" applyAlignment="1" applyProtection="1">
      <alignment horizontal="left" vertical="top" wrapText="1"/>
    </xf>
    <xf numFmtId="0" fontId="15" fillId="7" borderId="7" xfId="0" applyFont="1" applyFill="1" applyBorder="1" applyAlignment="1">
      <alignment horizontal="left" vertical="center"/>
    </xf>
    <xf numFmtId="0" fontId="15" fillId="7" borderId="15" xfId="0" applyFont="1" applyFill="1" applyBorder="1" applyAlignment="1">
      <alignment horizontal="left" vertical="center"/>
    </xf>
    <xf numFmtId="0" fontId="15" fillId="7" borderId="3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5" fillId="7" borderId="7" xfId="0" applyFont="1" applyFill="1" applyBorder="1" applyAlignment="1">
      <alignment horizontal="left" vertical="center" wrapText="1"/>
    </xf>
    <xf numFmtId="0" fontId="15" fillId="7" borderId="15" xfId="0" applyFont="1" applyFill="1" applyBorder="1" applyAlignment="1">
      <alignment horizontal="left" vertical="center" wrapText="1"/>
    </xf>
    <xf numFmtId="0" fontId="15" fillId="7" borderId="3" xfId="0" applyFont="1" applyFill="1" applyBorder="1" applyAlignment="1">
      <alignment horizontal="left" vertical="center" wrapText="1"/>
    </xf>
    <xf numFmtId="0" fontId="8" fillId="8" borderId="16" xfId="8" applyFont="1" applyFill="1" applyBorder="1" applyAlignment="1" applyProtection="1">
      <alignment horizontal="center" vertical="center" wrapText="1"/>
    </xf>
    <xf numFmtId="0" fontId="8" fillId="8" borderId="17" xfId="8" applyFont="1" applyFill="1" applyBorder="1" applyAlignment="1" applyProtection="1">
      <alignment horizontal="center" vertical="center" wrapText="1"/>
    </xf>
    <xf numFmtId="0" fontId="8" fillId="8" borderId="18" xfId="8" applyFont="1" applyFill="1" applyBorder="1" applyAlignment="1" applyProtection="1">
      <alignment horizontal="center" vertical="center" wrapText="1"/>
    </xf>
    <xf numFmtId="0" fontId="8" fillId="8" borderId="22" xfId="8" applyFont="1" applyFill="1" applyBorder="1" applyAlignment="1" applyProtection="1">
      <alignment horizontal="center" vertical="center" wrapText="1"/>
    </xf>
    <xf numFmtId="0" fontId="8" fillId="8" borderId="19" xfId="8" applyFont="1" applyFill="1" applyBorder="1" applyAlignment="1" applyProtection="1">
      <alignment horizontal="center" vertical="center" wrapText="1"/>
    </xf>
    <xf numFmtId="0" fontId="8" fillId="8" borderId="20" xfId="8" applyFont="1" applyFill="1" applyBorder="1" applyAlignment="1" applyProtection="1">
      <alignment horizontal="center" vertical="center" wrapText="1"/>
    </xf>
  </cellXfs>
  <cellStyles count="12">
    <cellStyle name="Calculation" xfId="10" builtinId="22"/>
    <cellStyle name="Comma" xfId="6" builtinId="3"/>
    <cellStyle name="Currency" xfId="1" builtinId="4"/>
    <cellStyle name="Explanatory Text" xfId="9" builtinId="53"/>
    <cellStyle name="GH_Dark_H3" xfId="4" xr:uid="{575DF477-074F-45DE-A7F7-BFB1D51E5D4D}"/>
    <cellStyle name="Hyperlink" xfId="11" builtinId="8"/>
    <cellStyle name="Input" xfId="2" builtinId="20"/>
    <cellStyle name="Neutral" xfId="8" builtinId="28"/>
    <cellStyle name="Normal" xfId="0" builtinId="0"/>
    <cellStyle name="Normal 2" xfId="3" xr:uid="{BE780467-9D84-4C1D-B2B0-0AD966E684D4}"/>
    <cellStyle name="Output" xfId="7" builtinId="21"/>
    <cellStyle name="Percent" xfId="5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</xdr:colOff>
      <xdr:row>0</xdr:row>
      <xdr:rowOff>7620</xdr:rowOff>
    </xdr:from>
    <xdr:to>
      <xdr:col>3</xdr:col>
      <xdr:colOff>1769328</xdr:colOff>
      <xdr:row>1</xdr:row>
      <xdr:rowOff>498817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7B7547-6E6C-48EF-B981-D5C4A33CAE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2072"/>
        <a:stretch/>
      </xdr:blipFill>
      <xdr:spPr>
        <a:xfrm>
          <a:off x="388620" y="7620"/>
          <a:ext cx="3285708" cy="6588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</xdr:colOff>
      <xdr:row>0</xdr:row>
      <xdr:rowOff>73269</xdr:rowOff>
    </xdr:from>
    <xdr:to>
      <xdr:col>3</xdr:col>
      <xdr:colOff>2420690</xdr:colOff>
      <xdr:row>4</xdr:row>
      <xdr:rowOff>73269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09E7C7-0982-44C1-B2E0-2A3D68C3D6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2072"/>
        <a:stretch/>
      </xdr:blipFill>
      <xdr:spPr>
        <a:xfrm>
          <a:off x="419099" y="73269"/>
          <a:ext cx="3249366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portal.ct.gov/DECD/Content/About_DECD/Research-and-Publications/02_Review_Publications/Distressed-Municipaliti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1A56D-1ECB-407D-BF98-7C5E48A1BF2C}">
  <dimension ref="A2:P78"/>
  <sheetViews>
    <sheetView showGridLines="0" zoomScale="115" zoomScaleNormal="115" workbookViewId="0">
      <selection activeCell="H16" sqref="H16"/>
    </sheetView>
  </sheetViews>
  <sheetFormatPr defaultColWidth="9.140625" defaultRowHeight="12.75" x14ac:dyDescent="0.2"/>
  <cols>
    <col min="1" max="1" width="3.140625" style="16" customWidth="1"/>
    <col min="2" max="2" width="2.85546875" style="16" customWidth="1"/>
    <col min="3" max="3" width="21.7109375" style="16" bestFit="1" customWidth="1"/>
    <col min="4" max="4" width="43.5703125" style="16" customWidth="1"/>
    <col min="5" max="5" width="16.28515625" style="16" customWidth="1"/>
    <col min="6" max="6" width="23.140625" style="16" customWidth="1"/>
    <col min="7" max="7" width="14" style="16" bestFit="1" customWidth="1"/>
    <col min="8" max="8" width="25" style="16" bestFit="1" customWidth="1"/>
    <col min="9" max="9" width="11" style="16" bestFit="1" customWidth="1"/>
    <col min="10" max="10" width="14.85546875" style="16" bestFit="1" customWidth="1"/>
    <col min="11" max="11" width="10.28515625" style="16" bestFit="1" customWidth="1"/>
    <col min="12" max="13" width="9.140625" style="16"/>
    <col min="14" max="14" width="27.7109375" style="16" customWidth="1"/>
    <col min="15" max="15" width="15.42578125" style="16" customWidth="1"/>
    <col min="16" max="16" width="9.7109375" style="16" bestFit="1" customWidth="1"/>
    <col min="17" max="16384" width="9.140625" style="16"/>
  </cols>
  <sheetData>
    <row r="2" spans="2:16" ht="41.25" customHeight="1" x14ac:dyDescent="0.2"/>
    <row r="3" spans="2:16" ht="15.75" thickBot="1" x14ac:dyDescent="0.3">
      <c r="C3" s="110" t="s">
        <v>40</v>
      </c>
      <c r="D3" s="110"/>
    </row>
    <row r="4" spans="2:16" x14ac:dyDescent="0.2">
      <c r="C4" s="111" t="s">
        <v>41</v>
      </c>
      <c r="D4" s="112"/>
      <c r="E4" s="100" t="s">
        <v>139</v>
      </c>
      <c r="F4" s="101"/>
      <c r="G4" s="102"/>
    </row>
    <row r="5" spans="2:16" ht="21" customHeight="1" x14ac:dyDescent="0.2">
      <c r="C5" s="113"/>
      <c r="D5" s="114"/>
      <c r="E5" s="103"/>
      <c r="F5" s="104"/>
      <c r="G5" s="105"/>
    </row>
    <row r="6" spans="2:16" x14ac:dyDescent="0.2">
      <c r="C6" s="115" t="str">
        <f>CONCATENATE($I$27," ","Battery System – ",$C$10," kW / ",$C$11," kWh")</f>
        <v xml:space="preserve"> Battery System – 250 kW / 880 kWh</v>
      </c>
      <c r="D6" s="116"/>
      <c r="E6" s="103"/>
      <c r="F6" s="104"/>
      <c r="G6" s="105"/>
    </row>
    <row r="7" spans="2:16" x14ac:dyDescent="0.2">
      <c r="C7" s="115"/>
      <c r="D7" s="116"/>
      <c r="E7" s="103"/>
      <c r="F7" s="104"/>
      <c r="G7" s="105"/>
    </row>
    <row r="8" spans="2:16" x14ac:dyDescent="0.2">
      <c r="C8" s="115"/>
      <c r="D8" s="116"/>
      <c r="E8" s="103"/>
      <c r="F8" s="104"/>
      <c r="G8" s="105"/>
    </row>
    <row r="9" spans="2:16" x14ac:dyDescent="0.2">
      <c r="C9" s="117" t="s">
        <v>2</v>
      </c>
      <c r="D9" s="118"/>
      <c r="E9" s="103"/>
      <c r="F9" s="104"/>
      <c r="G9" s="105"/>
    </row>
    <row r="10" spans="2:16" x14ac:dyDescent="0.2">
      <c r="B10" s="17">
        <v>1</v>
      </c>
      <c r="C10" s="9">
        <v>250</v>
      </c>
      <c r="D10" s="99" t="s">
        <v>42</v>
      </c>
      <c r="E10" s="103"/>
      <c r="F10" s="104"/>
      <c r="G10" s="105"/>
    </row>
    <row r="11" spans="2:16" ht="13.5" thickBot="1" x14ac:dyDescent="0.25">
      <c r="B11" s="17">
        <v>2</v>
      </c>
      <c r="C11" s="9">
        <v>880</v>
      </c>
      <c r="D11" s="99" t="s">
        <v>4</v>
      </c>
      <c r="E11" s="106"/>
      <c r="F11" s="107"/>
      <c r="G11" s="108"/>
    </row>
    <row r="12" spans="2:16" x14ac:dyDescent="0.2">
      <c r="B12" s="17">
        <v>3</v>
      </c>
      <c r="C12" s="10">
        <v>935000</v>
      </c>
      <c r="D12" s="31" t="s">
        <v>43</v>
      </c>
    </row>
    <row r="13" spans="2:16" x14ac:dyDescent="0.2">
      <c r="C13" s="117" t="s">
        <v>6</v>
      </c>
      <c r="D13" s="117"/>
    </row>
    <row r="14" spans="2:16" x14ac:dyDescent="0.2">
      <c r="B14" s="17">
        <v>4</v>
      </c>
      <c r="C14" s="11">
        <v>180</v>
      </c>
      <c r="D14" s="18" t="s">
        <v>44</v>
      </c>
      <c r="P14"/>
    </row>
    <row r="15" spans="2:16" x14ac:dyDescent="0.2">
      <c r="B15" s="17">
        <v>5</v>
      </c>
      <c r="C15" s="10" t="s">
        <v>82</v>
      </c>
      <c r="D15" s="18" t="s">
        <v>46</v>
      </c>
      <c r="E15" s="94"/>
      <c r="F15" s="93"/>
      <c r="G15" s="93"/>
      <c r="J15" s="20"/>
      <c r="K15" s="20"/>
      <c r="P15"/>
    </row>
    <row r="16" spans="2:16" x14ac:dyDescent="0.2">
      <c r="C16" s="21" t="str">
        <f>IF(((I25&gt;1.5)*AND(C10&gt;2000))*OR(C10&gt;2000),"Cap Exceeded","OK")</f>
        <v>OK</v>
      </c>
      <c r="D16" s="18" t="s">
        <v>47</v>
      </c>
      <c r="E16" s="94"/>
      <c r="F16" s="93"/>
      <c r="G16" s="93"/>
      <c r="P16"/>
    </row>
    <row r="17" spans="2:16" x14ac:dyDescent="0.2">
      <c r="P17"/>
    </row>
    <row r="18" spans="2:16" ht="15" x14ac:dyDescent="0.2">
      <c r="C18" s="121" t="str">
        <f>CONCATENATE(I27," ","Battery System – ",C10," kW / ",C11," kWh")</f>
        <v xml:space="preserve"> Battery System – 250 kW / 880 kWh</v>
      </c>
      <c r="D18" s="121"/>
      <c r="E18" s="121"/>
      <c r="F18" s="121"/>
      <c r="P18"/>
    </row>
    <row r="19" spans="2:16" ht="18" x14ac:dyDescent="0.2">
      <c r="C19" s="123" t="s">
        <v>48</v>
      </c>
      <c r="D19" s="124"/>
      <c r="E19" s="125"/>
      <c r="F19" s="73">
        <f>MIN(IF(C15&lt;&gt;"None",E77*1.25,E77),Total_System_Cost*0.5)</f>
        <v>126500</v>
      </c>
      <c r="I19" s="22"/>
      <c r="P19"/>
    </row>
    <row r="20" spans="2:16" x14ac:dyDescent="0.2">
      <c r="C20" s="23" t="s">
        <v>49</v>
      </c>
      <c r="D20" s="24"/>
      <c r="E20" s="24"/>
      <c r="F20" s="25" t="str">
        <f>IF(F19=0.5*C12,"50% of total cost","Rate * kWh (tiered)")</f>
        <v>Rate * kWh (tiered)</v>
      </c>
      <c r="I20" s="22"/>
      <c r="P20"/>
    </row>
    <row r="21" spans="2:16" ht="18" x14ac:dyDescent="0.2">
      <c r="C21" s="123" t="s">
        <v>15</v>
      </c>
      <c r="D21" s="124"/>
      <c r="E21" s="125"/>
      <c r="F21" s="73">
        <f>$H$42</f>
        <v>284226.33127343818</v>
      </c>
      <c r="I21" s="22"/>
      <c r="P21"/>
    </row>
    <row r="22" spans="2:16" x14ac:dyDescent="0.2">
      <c r="C22" s="62" t="s">
        <v>16</v>
      </c>
      <c r="D22" s="62"/>
      <c r="E22" s="62"/>
      <c r="F22" s="25" t="str">
        <f>$I$42</f>
        <v>Average kW</v>
      </c>
      <c r="I22" s="22"/>
      <c r="P22"/>
    </row>
    <row r="23" spans="2:16" x14ac:dyDescent="0.2">
      <c r="C23" s="122"/>
      <c r="D23" s="122"/>
      <c r="E23" s="122"/>
      <c r="F23" s="122"/>
      <c r="H23" s="26"/>
      <c r="P23"/>
    </row>
    <row r="24" spans="2:16" x14ac:dyDescent="0.2">
      <c r="P24"/>
    </row>
    <row r="25" spans="2:16" ht="12.75" customHeight="1" x14ac:dyDescent="0.2">
      <c r="C25" s="120" t="s">
        <v>17</v>
      </c>
      <c r="D25" s="120"/>
      <c r="E25" s="27"/>
      <c r="F25" s="28"/>
      <c r="I25" s="29">
        <f>Nameplate_Power_kW/Annual_Average_Demand_kW</f>
        <v>1.3888888888888888</v>
      </c>
      <c r="K25" s="30"/>
      <c r="P25"/>
    </row>
    <row r="26" spans="2:16" ht="12.75" customHeight="1" x14ac:dyDescent="0.2">
      <c r="B26" s="17">
        <v>6</v>
      </c>
      <c r="C26" s="12">
        <v>2.5000000000000001E-2</v>
      </c>
      <c r="D26" s="31" t="s">
        <v>50</v>
      </c>
      <c r="E26" s="19" t="s">
        <v>19</v>
      </c>
      <c r="F26" s="32"/>
      <c r="G26" s="33"/>
      <c r="I26" s="34"/>
      <c r="K26" s="30"/>
      <c r="O26" s="35"/>
      <c r="P26"/>
    </row>
    <row r="27" spans="2:16" x14ac:dyDescent="0.2">
      <c r="B27" s="17">
        <v>7</v>
      </c>
      <c r="C27" s="13">
        <v>0.8</v>
      </c>
      <c r="D27" s="31" t="s">
        <v>51</v>
      </c>
      <c r="E27" s="19" t="s">
        <v>21</v>
      </c>
      <c r="F27" s="32"/>
      <c r="G27" s="33"/>
      <c r="K27" s="30"/>
      <c r="P27"/>
    </row>
    <row r="28" spans="2:16" x14ac:dyDescent="0.2">
      <c r="B28" s="17">
        <v>8</v>
      </c>
      <c r="C28" s="13">
        <v>0.75</v>
      </c>
      <c r="D28" s="31" t="s">
        <v>52</v>
      </c>
      <c r="E28" s="119" t="s">
        <v>137</v>
      </c>
      <c r="F28" s="119"/>
      <c r="G28" s="119"/>
      <c r="P28"/>
    </row>
    <row r="29" spans="2:16" x14ac:dyDescent="0.2">
      <c r="E29" s="119"/>
      <c r="F29" s="119"/>
      <c r="G29" s="119"/>
    </row>
    <row r="30" spans="2:16" ht="24.75" customHeight="1" x14ac:dyDescent="0.2">
      <c r="C30" s="126" t="s">
        <v>23</v>
      </c>
      <c r="D30" s="127"/>
      <c r="E30" s="119"/>
      <c r="F30" s="119"/>
      <c r="G30" s="119"/>
      <c r="J30" s="36"/>
    </row>
    <row r="31" spans="2:16" x14ac:dyDescent="0.2">
      <c r="C31" s="37"/>
      <c r="D31" s="37" t="s">
        <v>24</v>
      </c>
      <c r="E31" s="37" t="s">
        <v>25</v>
      </c>
      <c r="F31" s="37" t="s">
        <v>26</v>
      </c>
      <c r="G31" s="37" t="s">
        <v>27</v>
      </c>
      <c r="H31" s="37" t="s">
        <v>28</v>
      </c>
      <c r="J31" s="36" t="s">
        <v>53</v>
      </c>
    </row>
    <row r="32" spans="2:16" x14ac:dyDescent="0.2">
      <c r="C32" s="38" t="s">
        <v>29</v>
      </c>
      <c r="D32" s="39">
        <f>$C$11</f>
        <v>880</v>
      </c>
      <c r="E32" s="40">
        <f t="shared" ref="E32:E41" si="0">(D32*$C$27*$C$28)/3</f>
        <v>176</v>
      </c>
      <c r="F32" s="41">
        <f t="shared" ref="F32:F36" si="1">200*MIN($E32, Nameplate_Power_kW)</f>
        <v>35200</v>
      </c>
      <c r="G32" s="42">
        <f t="shared" ref="G32:G36" si="2">25*MIN($E32, Nameplate_Power_kW)</f>
        <v>4400</v>
      </c>
      <c r="H32" s="42">
        <f t="shared" ref="H32:H41" si="3">SUM(F32:G32)</f>
        <v>39600</v>
      </c>
      <c r="J32" s="43">
        <f t="shared" ref="J32:J41" si="4">$C$10</f>
        <v>250</v>
      </c>
    </row>
    <row r="33" spans="1:14" x14ac:dyDescent="0.2">
      <c r="C33" s="44" t="s">
        <v>30</v>
      </c>
      <c r="D33" s="45">
        <f t="shared" ref="D33:D41" si="5">D32*(1-$C$26)</f>
        <v>858</v>
      </c>
      <c r="E33" s="40">
        <f t="shared" si="0"/>
        <v>171.60000000000002</v>
      </c>
      <c r="F33" s="41">
        <f t="shared" si="1"/>
        <v>34320.000000000007</v>
      </c>
      <c r="G33" s="42">
        <f t="shared" si="2"/>
        <v>4290.0000000000009</v>
      </c>
      <c r="H33" s="42">
        <f t="shared" si="3"/>
        <v>38610.000000000007</v>
      </c>
      <c r="J33" s="43">
        <f t="shared" si="4"/>
        <v>250</v>
      </c>
    </row>
    <row r="34" spans="1:14" x14ac:dyDescent="0.2">
      <c r="C34" s="44" t="s">
        <v>31</v>
      </c>
      <c r="D34" s="45">
        <f t="shared" si="5"/>
        <v>836.55</v>
      </c>
      <c r="E34" s="40">
        <f t="shared" si="0"/>
        <v>167.31</v>
      </c>
      <c r="F34" s="41">
        <f t="shared" si="1"/>
        <v>33462</v>
      </c>
      <c r="G34" s="42">
        <f t="shared" si="2"/>
        <v>4182.75</v>
      </c>
      <c r="H34" s="42">
        <f t="shared" si="3"/>
        <v>37644.75</v>
      </c>
      <c r="J34" s="43">
        <f t="shared" si="4"/>
        <v>250</v>
      </c>
    </row>
    <row r="35" spans="1:14" x14ac:dyDescent="0.2">
      <c r="C35" s="44" t="s">
        <v>32</v>
      </c>
      <c r="D35" s="45">
        <f t="shared" si="5"/>
        <v>815.6362499999999</v>
      </c>
      <c r="E35" s="40">
        <f t="shared" si="0"/>
        <v>163.12725</v>
      </c>
      <c r="F35" s="41">
        <f t="shared" si="1"/>
        <v>32625.45</v>
      </c>
      <c r="G35" s="42">
        <f t="shared" si="2"/>
        <v>4078.1812500000001</v>
      </c>
      <c r="H35" s="42">
        <f t="shared" si="3"/>
        <v>36703.631249999999</v>
      </c>
      <c r="J35" s="43">
        <f t="shared" si="4"/>
        <v>250</v>
      </c>
    </row>
    <row r="36" spans="1:14" x14ac:dyDescent="0.2">
      <c r="C36" s="44" t="s">
        <v>33</v>
      </c>
      <c r="D36" s="45">
        <f t="shared" si="5"/>
        <v>795.24534374999985</v>
      </c>
      <c r="E36" s="40">
        <f t="shared" si="0"/>
        <v>159.04906874999998</v>
      </c>
      <c r="F36" s="41">
        <f t="shared" si="1"/>
        <v>31809.813749999994</v>
      </c>
      <c r="G36" s="42">
        <f t="shared" si="2"/>
        <v>3976.2267187499992</v>
      </c>
      <c r="H36" s="42">
        <f t="shared" si="3"/>
        <v>35786.04046874999</v>
      </c>
      <c r="J36" s="43">
        <f t="shared" si="4"/>
        <v>250</v>
      </c>
    </row>
    <row r="37" spans="1:14" x14ac:dyDescent="0.2">
      <c r="C37" s="44" t="s">
        <v>34</v>
      </c>
      <c r="D37" s="45">
        <f t="shared" si="5"/>
        <v>775.36421015624978</v>
      </c>
      <c r="E37" s="40">
        <f t="shared" si="0"/>
        <v>155.07284203124996</v>
      </c>
      <c r="F37" s="41">
        <f>115*MIN($E37, Nameplate_Power_kW)</f>
        <v>17833.376833593746</v>
      </c>
      <c r="G37" s="42">
        <f>15*MIN($E37, Nameplate_Power_kW)</f>
        <v>2326.0926304687496</v>
      </c>
      <c r="H37" s="42">
        <f t="shared" si="3"/>
        <v>20159.469464062495</v>
      </c>
      <c r="J37" s="43">
        <f t="shared" si="4"/>
        <v>250</v>
      </c>
    </row>
    <row r="38" spans="1:14" x14ac:dyDescent="0.2">
      <c r="C38" s="44" t="s">
        <v>35</v>
      </c>
      <c r="D38" s="45">
        <f t="shared" si="5"/>
        <v>755.98010490234356</v>
      </c>
      <c r="E38" s="40">
        <f t="shared" si="0"/>
        <v>151.19602098046872</v>
      </c>
      <c r="F38" s="41">
        <f>115*MIN($E38, Nameplate_Power_kW)</f>
        <v>17387.542412753901</v>
      </c>
      <c r="G38" s="42">
        <f>15*MIN($E38, Nameplate_Power_kW)</f>
        <v>2267.9403147070307</v>
      </c>
      <c r="H38" s="42">
        <f t="shared" si="3"/>
        <v>19655.482727460931</v>
      </c>
      <c r="J38" s="43">
        <f t="shared" si="4"/>
        <v>250</v>
      </c>
    </row>
    <row r="39" spans="1:14" x14ac:dyDescent="0.2">
      <c r="C39" s="44" t="s">
        <v>36</v>
      </c>
      <c r="D39" s="45">
        <f t="shared" si="5"/>
        <v>737.0806022797849</v>
      </c>
      <c r="E39" s="40">
        <f t="shared" si="0"/>
        <v>147.41612045595699</v>
      </c>
      <c r="F39" s="41">
        <f>115*MIN($E39, Nameplate_Power_kW)</f>
        <v>16952.853852435052</v>
      </c>
      <c r="G39" s="42">
        <f>15*MIN($E39, Nameplate_Power_kW)</f>
        <v>2211.2418068393549</v>
      </c>
      <c r="H39" s="42">
        <f t="shared" si="3"/>
        <v>19164.095659274408</v>
      </c>
      <c r="J39" s="43">
        <f t="shared" si="4"/>
        <v>250</v>
      </c>
    </row>
    <row r="40" spans="1:14" x14ac:dyDescent="0.2">
      <c r="C40" s="44" t="s">
        <v>37</v>
      </c>
      <c r="D40" s="45">
        <f t="shared" si="5"/>
        <v>718.65358722279029</v>
      </c>
      <c r="E40" s="40">
        <f t="shared" si="0"/>
        <v>143.73071744455805</v>
      </c>
      <c r="F40" s="41">
        <f>115*MIN($E40, Nameplate_Power_kW)</f>
        <v>16529.032506124175</v>
      </c>
      <c r="G40" s="42">
        <f>15*MIN($E40, Nameplate_Power_kW)</f>
        <v>2155.9607616683707</v>
      </c>
      <c r="H40" s="42">
        <f t="shared" si="3"/>
        <v>18684.993267792546</v>
      </c>
      <c r="J40" s="43">
        <f t="shared" si="4"/>
        <v>250</v>
      </c>
    </row>
    <row r="41" spans="1:14" x14ac:dyDescent="0.2">
      <c r="C41" s="46" t="s">
        <v>38</v>
      </c>
      <c r="D41" s="47">
        <f t="shared" si="5"/>
        <v>700.68724754222058</v>
      </c>
      <c r="E41" s="48">
        <f t="shared" si="0"/>
        <v>140.13744950844412</v>
      </c>
      <c r="F41" s="49">
        <f>115*MIN($E41, Nameplate_Power_kW)</f>
        <v>16115.806693471073</v>
      </c>
      <c r="G41" s="50">
        <f>15*MIN($E41, Nameplate_Power_kW)</f>
        <v>2102.0617426266617</v>
      </c>
      <c r="H41" s="50">
        <f t="shared" si="3"/>
        <v>18217.868436097735</v>
      </c>
      <c r="J41" s="43">
        <f t="shared" si="4"/>
        <v>250</v>
      </c>
    </row>
    <row r="42" spans="1:14" ht="13.5" thickBot="1" x14ac:dyDescent="0.25">
      <c r="C42" s="51"/>
      <c r="G42" s="52" t="s">
        <v>136</v>
      </c>
      <c r="H42" s="53">
        <f>SUM(H32:H41)</f>
        <v>284226.33127343818</v>
      </c>
      <c r="I42" s="36" t="str">
        <f>IF(F32=(C10*200),"Limited by inverter size","Average kW")</f>
        <v>Average kW</v>
      </c>
    </row>
    <row r="43" spans="1:14" ht="13.5" thickBot="1" x14ac:dyDescent="0.25">
      <c r="C43" s="51"/>
      <c r="G43" s="55" t="s">
        <v>39</v>
      </c>
      <c r="H43" s="56">
        <v>45421</v>
      </c>
    </row>
    <row r="44" spans="1:14" x14ac:dyDescent="0.2">
      <c r="N44" s="51"/>
    </row>
    <row r="46" spans="1:14" x14ac:dyDescent="0.2">
      <c r="A46" s="36"/>
      <c r="B46" s="36"/>
    </row>
    <row r="47" spans="1:14" x14ac:dyDescent="0.2">
      <c r="A47" s="36"/>
      <c r="B47" s="36"/>
    </row>
    <row r="48" spans="1:14" x14ac:dyDescent="0.2">
      <c r="A48" s="36"/>
      <c r="B48" s="36"/>
    </row>
    <row r="49" spans="1:8" x14ac:dyDescent="0.2">
      <c r="A49" s="36"/>
      <c r="B49" s="36"/>
    </row>
    <row r="50" spans="1:8" x14ac:dyDescent="0.2">
      <c r="A50" s="36"/>
      <c r="B50" s="36"/>
    </row>
    <row r="51" spans="1:8" x14ac:dyDescent="0.2">
      <c r="A51" s="36"/>
      <c r="B51" s="36"/>
    </row>
    <row r="52" spans="1:8" x14ac:dyDescent="0.2">
      <c r="A52" s="36"/>
      <c r="B52" s="36"/>
    </row>
    <row r="53" spans="1:8" x14ac:dyDescent="0.2">
      <c r="A53" s="36"/>
      <c r="B53" s="36"/>
    </row>
    <row r="54" spans="1:8" x14ac:dyDescent="0.2">
      <c r="A54" s="36"/>
      <c r="B54" s="36"/>
    </row>
    <row r="55" spans="1:8" x14ac:dyDescent="0.2">
      <c r="A55" s="36"/>
      <c r="B55" s="36"/>
    </row>
    <row r="56" spans="1:8" x14ac:dyDescent="0.2">
      <c r="A56" s="36"/>
      <c r="B56" s="36"/>
    </row>
    <row r="57" spans="1:8" x14ac:dyDescent="0.2">
      <c r="A57" s="36"/>
      <c r="B57" s="36"/>
    </row>
    <row r="58" spans="1:8" x14ac:dyDescent="0.2">
      <c r="A58" s="36"/>
      <c r="B58" s="36"/>
    </row>
    <row r="59" spans="1:8" x14ac:dyDescent="0.2">
      <c r="A59" s="36"/>
      <c r="B59" s="36"/>
    </row>
    <row r="60" spans="1:8" x14ac:dyDescent="0.2">
      <c r="A60" s="36"/>
      <c r="B60" s="36"/>
      <c r="H60" s="36"/>
    </row>
    <row r="61" spans="1:8" x14ac:dyDescent="0.2">
      <c r="A61" s="36"/>
      <c r="B61" s="36"/>
      <c r="H61" s="36"/>
    </row>
    <row r="62" spans="1:8" x14ac:dyDescent="0.2">
      <c r="A62" s="36"/>
      <c r="B62" s="36"/>
      <c r="H62" s="36"/>
    </row>
    <row r="63" spans="1:8" x14ac:dyDescent="0.2">
      <c r="A63" s="36"/>
      <c r="B63" s="36"/>
      <c r="H63" s="36"/>
    </row>
    <row r="64" spans="1:8" x14ac:dyDescent="0.2">
      <c r="A64" s="36"/>
      <c r="B64" s="36"/>
      <c r="H64" s="36"/>
    </row>
    <row r="65" spans="3:8" x14ac:dyDescent="0.2">
      <c r="H65" s="36"/>
    </row>
    <row r="66" spans="3:8" x14ac:dyDescent="0.2">
      <c r="H66" s="36"/>
    </row>
    <row r="67" spans="3:8" x14ac:dyDescent="0.2">
      <c r="H67" s="36"/>
    </row>
    <row r="69" spans="3:8" x14ac:dyDescent="0.2">
      <c r="C69" s="109" t="s">
        <v>54</v>
      </c>
      <c r="D69" s="95" t="s">
        <v>55</v>
      </c>
      <c r="E69" s="96" t="str">
        <f>IF(Annual_Average_Demand_kW&lt;200,"Small C&amp;I",IF(Annual_Average_Demand_kW&lt;500,"Medium C&amp;I","Large C&amp;I"))</f>
        <v>Small C&amp;I</v>
      </c>
    </row>
    <row r="70" spans="3:8" x14ac:dyDescent="0.2">
      <c r="C70" s="109"/>
      <c r="D70" s="95" t="s">
        <v>56</v>
      </c>
      <c r="E70" s="97">
        <f>Nameplate_Power_kW/Annual_Average_Demand_kW</f>
        <v>1.3888888888888888</v>
      </c>
    </row>
    <row r="71" spans="3:8" x14ac:dyDescent="0.2">
      <c r="C71" s="109"/>
      <c r="D71" s="95" t="s">
        <v>57</v>
      </c>
      <c r="E71" s="97">
        <f>Nameplate_Energy_Capacity_kW/Nameplate_Power_kW</f>
        <v>3.52</v>
      </c>
    </row>
    <row r="72" spans="3:8" x14ac:dyDescent="0.2">
      <c r="C72" s="109"/>
      <c r="D72" s="95" t="s">
        <v>58</v>
      </c>
      <c r="E72" s="98">
        <f>IF(E50="Small C&amp;I", IF(C10&lt;200, C10*E52, 200*E52), 0)</f>
        <v>0</v>
      </c>
    </row>
    <row r="73" spans="3:8" x14ac:dyDescent="0.2">
      <c r="C73" s="109"/>
      <c r="D73" s="95" t="s">
        <v>59</v>
      </c>
      <c r="E73" s="97">
        <f>IF(Customer_Class="Medium C&amp;I", IF(Nameplate_Power_kW&lt;500, Nameplate_Power_kW*kWh_kW_Ratio, 500*kWh_kW_Ratio),
  IF(Customer_Class="Small C&amp;I",       IF(Nameplate_Power_kW&lt;200, 0, IF(Nameplate_Power_kW&lt;500, (Nameplate_Power_kW-200)*kWh_kW_Ratio, 300*kWh_kW_Ratio)),
  0))</f>
        <v>176</v>
      </c>
    </row>
    <row r="74" spans="3:8" x14ac:dyDescent="0.2">
      <c r="C74" s="109"/>
      <c r="D74" s="95" t="s">
        <v>60</v>
      </c>
      <c r="E74" s="97">
        <f>MAX(0, MIN(Nameplate_Power_kW, MAX(2000, Annual_Average_Demand_kW*1.5))*kWh_kW_Ratio-Medium_Tier-Small_Tier)</f>
        <v>704</v>
      </c>
    </row>
    <row r="75" spans="3:8" x14ac:dyDescent="0.2">
      <c r="C75" s="29"/>
      <c r="D75" s="29"/>
      <c r="E75" s="90" t="str">
        <f>IF(SUM(E72:E74)=Nameplate_Energy_Capacity_kW,"OK","ERROR")</f>
        <v>OK</v>
      </c>
    </row>
    <row r="76" spans="3:8" x14ac:dyDescent="0.2">
      <c r="C76" s="29"/>
      <c r="D76" s="29"/>
      <c r="E76" s="29"/>
    </row>
    <row r="77" spans="3:8" x14ac:dyDescent="0.2">
      <c r="C77" s="29"/>
      <c r="D77" s="91" t="s">
        <v>61</v>
      </c>
      <c r="E77" s="92">
        <f>IF(((Small_Tier*200)+(Medium_Tier*175)+(Large_Tier*100))&gt;0.5*Total_System_Cost,0.5*Total_System_Cost,((Small_Tier*200)+(Medium_Tier*175)+(Large_Tier*100)))</f>
        <v>101200</v>
      </c>
    </row>
    <row r="78" spans="3:8" x14ac:dyDescent="0.2">
      <c r="C78" s="36"/>
      <c r="D78" s="36"/>
      <c r="E78" s="36"/>
    </row>
  </sheetData>
  <mergeCells count="14">
    <mergeCell ref="E4:G11"/>
    <mergeCell ref="C69:C74"/>
    <mergeCell ref="C3:D3"/>
    <mergeCell ref="C4:D5"/>
    <mergeCell ref="C6:D8"/>
    <mergeCell ref="C9:D9"/>
    <mergeCell ref="C13:D13"/>
    <mergeCell ref="E28:G30"/>
    <mergeCell ref="C25:D25"/>
    <mergeCell ref="C18:F18"/>
    <mergeCell ref="C23:F23"/>
    <mergeCell ref="C19:E19"/>
    <mergeCell ref="C21:E21"/>
    <mergeCell ref="C30:D30"/>
  </mergeCells>
  <conditionalFormatting sqref="C16">
    <cfRule type="containsText" dxfId="2" priority="4" operator="containsText" text="OK">
      <formula>NOT(ISERROR(SEARCH("OK",C16)))</formula>
    </cfRule>
    <cfRule type="containsText" dxfId="1" priority="5" operator="containsText" text="Cap Exceeded">
      <formula>NOT(ISERROR(SEARCH("Cap Exceeded",C16)))</formula>
    </cfRule>
  </conditionalFormatting>
  <conditionalFormatting sqref="F19">
    <cfRule type="containsText" dxfId="0" priority="1" operator="containsText" text="Cap Exceeded">
      <formula>NOT(ISERROR(SEARCH("Cap Exceeded",F19)))</formula>
    </cfRule>
  </conditionalFormatting>
  <pageMargins left="0.7" right="0.7" top="0.75" bottom="0.75" header="0.3" footer="0.3"/>
  <pageSetup orientation="portrait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419539E-C721-480E-9FBB-AC4333CE802B}">
          <x14:formula1>
            <xm:f>Picklists!$B$2:$B$22</xm:f>
          </x14:formula1>
          <xm:sqref>C27:C28</xm:sqref>
        </x14:dataValidation>
        <x14:dataValidation type="list" allowBlank="1" showInputMessage="1" showErrorMessage="1" xr:uid="{E850E4F9-272C-460C-9E98-67DEC6DFA9AD}">
          <x14:formula1>
            <xm:f>Picklists!$C$2:$C$10</xm:f>
          </x14:formula1>
          <xm:sqref>C26</xm:sqref>
        </x14:dataValidation>
        <x14:dataValidation type="list" allowBlank="1" showInputMessage="1" showErrorMessage="1" promptTitle="Priority Status" prompt="Only customers with an Annual Peak Demand &lt; 200 kW qualify for the &quot;Small Business&quot; adder. Priority Adders are not stackable." xr:uid="{E7F4D56C-D933-4831-82E9-E8F209C233DE}">
          <x14:formula1>
            <xm:f>IF(Annual_Average_Demand_kW&lt;200,Picklists!$I$2:$I$5,Picklists!$E$2:$E$5)</xm:f>
          </x14:formula1>
          <xm:sqref>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E30E2-D390-477F-9F8E-2C346F59404C}">
  <dimension ref="B6:AF67"/>
  <sheetViews>
    <sheetView showGridLines="0" tabSelected="1" zoomScale="130" zoomScaleNormal="130" workbookViewId="0">
      <selection activeCell="G12" sqref="G12"/>
    </sheetView>
  </sheetViews>
  <sheetFormatPr defaultColWidth="9.140625" defaultRowHeight="12.75" x14ac:dyDescent="0.2"/>
  <cols>
    <col min="1" max="2" width="3.42578125" style="16" customWidth="1"/>
    <col min="3" max="3" width="12" style="16" customWidth="1"/>
    <col min="4" max="4" width="41.140625" style="16" customWidth="1"/>
    <col min="5" max="5" width="15.7109375" style="16" customWidth="1"/>
    <col min="6" max="6" width="22.42578125" style="16" customWidth="1"/>
    <col min="7" max="8" width="15" style="16" customWidth="1"/>
    <col min="9" max="9" width="5.7109375" style="16" customWidth="1"/>
    <col min="10" max="10" width="16" style="16" customWidth="1"/>
    <col min="11" max="11" width="26.85546875" style="16" bestFit="1" customWidth="1"/>
    <col min="12" max="13" width="14.140625" style="16" bestFit="1" customWidth="1"/>
    <col min="14" max="17" width="11.28515625" style="16" bestFit="1" customWidth="1"/>
    <col min="18" max="16384" width="9.140625" style="16"/>
  </cols>
  <sheetData>
    <row r="6" spans="2:18" ht="15" x14ac:dyDescent="0.25">
      <c r="C6" s="110" t="s">
        <v>0</v>
      </c>
      <c r="D6" s="110"/>
    </row>
    <row r="7" spans="2:18" ht="12.75" customHeight="1" x14ac:dyDescent="0.2">
      <c r="C7" s="139" t="s">
        <v>1</v>
      </c>
      <c r="D7" s="140"/>
      <c r="G7"/>
      <c r="H7"/>
      <c r="I7"/>
      <c r="J7"/>
      <c r="K7"/>
      <c r="L7"/>
      <c r="M7"/>
      <c r="N7"/>
      <c r="O7"/>
      <c r="P7"/>
      <c r="Q7"/>
      <c r="R7"/>
    </row>
    <row r="8" spans="2:18" x14ac:dyDescent="0.2">
      <c r="C8" s="141"/>
      <c r="D8" s="142"/>
      <c r="G8"/>
      <c r="H8"/>
      <c r="I8"/>
      <c r="J8"/>
      <c r="K8"/>
      <c r="L8"/>
      <c r="M8"/>
      <c r="N8"/>
      <c r="O8"/>
      <c r="P8"/>
      <c r="Q8"/>
      <c r="R8"/>
    </row>
    <row r="9" spans="2:18" x14ac:dyDescent="0.2">
      <c r="C9" s="143"/>
      <c r="D9" s="144"/>
      <c r="G9"/>
      <c r="H9"/>
      <c r="I9"/>
      <c r="J9"/>
      <c r="K9"/>
      <c r="L9"/>
      <c r="M9"/>
      <c r="N9"/>
      <c r="O9"/>
      <c r="P9"/>
      <c r="Q9"/>
      <c r="R9"/>
    </row>
    <row r="10" spans="2:18" x14ac:dyDescent="0.2">
      <c r="C10" s="20"/>
      <c r="D10" s="20"/>
      <c r="G10"/>
      <c r="H10"/>
      <c r="I10"/>
      <c r="J10"/>
      <c r="K10"/>
      <c r="L10"/>
      <c r="M10"/>
      <c r="N10"/>
      <c r="O10"/>
      <c r="P10"/>
      <c r="Q10"/>
      <c r="R10"/>
    </row>
    <row r="11" spans="2:18" x14ac:dyDescent="0.2">
      <c r="C11" s="115" t="str">
        <f>CONCATENATE("Residential Battery System – ",$C$15," kW / ",$C$16," kWh")</f>
        <v>Residential Battery System – 12 kW / 34 kWh</v>
      </c>
      <c r="D11" s="115"/>
      <c r="G11"/>
      <c r="H11"/>
      <c r="I11"/>
      <c r="J11"/>
      <c r="K11"/>
      <c r="L11"/>
      <c r="M11"/>
      <c r="N11"/>
      <c r="O11"/>
      <c r="P11"/>
      <c r="Q11"/>
      <c r="R11"/>
    </row>
    <row r="12" spans="2:18" x14ac:dyDescent="0.2">
      <c r="C12" s="115"/>
      <c r="D12" s="115"/>
      <c r="G12"/>
      <c r="H12"/>
      <c r="I12"/>
      <c r="J12"/>
      <c r="K12"/>
      <c r="L12"/>
      <c r="M12"/>
      <c r="N12"/>
      <c r="O12"/>
      <c r="P12"/>
      <c r="Q12"/>
      <c r="R12"/>
    </row>
    <row r="13" spans="2:18" x14ac:dyDescent="0.2">
      <c r="C13" s="115"/>
      <c r="D13" s="115"/>
      <c r="G13"/>
      <c r="H13"/>
      <c r="I13"/>
      <c r="J13"/>
      <c r="K13"/>
      <c r="L13"/>
      <c r="M13"/>
      <c r="N13"/>
      <c r="O13"/>
      <c r="P13"/>
      <c r="Q13"/>
      <c r="R13"/>
    </row>
    <row r="14" spans="2:18" x14ac:dyDescent="0.2">
      <c r="C14" s="117" t="s">
        <v>2</v>
      </c>
      <c r="D14" s="117"/>
      <c r="G14"/>
      <c r="H14"/>
      <c r="I14"/>
      <c r="J14"/>
      <c r="K14"/>
      <c r="L14"/>
      <c r="M14"/>
      <c r="N14"/>
      <c r="O14"/>
      <c r="P14"/>
      <c r="Q14"/>
      <c r="R14"/>
    </row>
    <row r="15" spans="2:18" x14ac:dyDescent="0.2">
      <c r="B15" s="17">
        <v>1</v>
      </c>
      <c r="C15" s="4">
        <v>12</v>
      </c>
      <c r="D15" s="31" t="s">
        <v>3</v>
      </c>
      <c r="G15"/>
      <c r="H15"/>
      <c r="I15"/>
      <c r="J15"/>
      <c r="K15"/>
      <c r="L15"/>
      <c r="M15"/>
      <c r="N15"/>
      <c r="O15"/>
      <c r="P15"/>
      <c r="Q15"/>
      <c r="R15"/>
    </row>
    <row r="16" spans="2:18" x14ac:dyDescent="0.2">
      <c r="B16" s="17">
        <v>2</v>
      </c>
      <c r="C16" s="5">
        <v>34</v>
      </c>
      <c r="D16" s="31" t="s">
        <v>4</v>
      </c>
      <c r="G16"/>
      <c r="H16"/>
      <c r="I16"/>
      <c r="J16"/>
      <c r="K16"/>
      <c r="L16"/>
      <c r="M16"/>
      <c r="N16"/>
      <c r="O16"/>
      <c r="P16"/>
      <c r="Q16"/>
      <c r="R16"/>
    </row>
    <row r="17" spans="2:18" x14ac:dyDescent="0.2">
      <c r="B17" s="17">
        <v>3</v>
      </c>
      <c r="C17" s="6">
        <v>34546</v>
      </c>
      <c r="D17" s="31" t="s">
        <v>5</v>
      </c>
      <c r="G17"/>
      <c r="H17"/>
      <c r="I17"/>
      <c r="J17"/>
      <c r="K17"/>
      <c r="L17"/>
      <c r="M17"/>
      <c r="N17"/>
      <c r="O17"/>
      <c r="P17"/>
      <c r="Q17"/>
      <c r="R17"/>
    </row>
    <row r="18" spans="2:18" x14ac:dyDescent="0.2">
      <c r="C18" s="117" t="s">
        <v>6</v>
      </c>
      <c r="D18" s="117"/>
      <c r="E18" s="36"/>
      <c r="G18"/>
      <c r="H18"/>
      <c r="I18"/>
      <c r="J18"/>
      <c r="K18"/>
      <c r="L18"/>
      <c r="M18"/>
      <c r="N18"/>
      <c r="O18"/>
      <c r="P18"/>
      <c r="Q18"/>
      <c r="R18"/>
    </row>
    <row r="19" spans="2:18" x14ac:dyDescent="0.2">
      <c r="B19" s="17">
        <v>4</v>
      </c>
      <c r="C19" s="7" t="s">
        <v>7</v>
      </c>
      <c r="D19" s="89" t="s">
        <v>8</v>
      </c>
      <c r="E19" s="57">
        <f>IF(C19="N/A",250,450)</f>
        <v>250</v>
      </c>
      <c r="G19"/>
      <c r="H19"/>
      <c r="I19"/>
      <c r="J19"/>
      <c r="K19"/>
      <c r="L19"/>
      <c r="M19"/>
      <c r="N19"/>
      <c r="O19"/>
      <c r="P19"/>
      <c r="Q19"/>
      <c r="R19"/>
    </row>
    <row r="20" spans="2:18" x14ac:dyDescent="0.2">
      <c r="B20" s="17">
        <v>5</v>
      </c>
      <c r="C20" s="6" t="s">
        <v>73</v>
      </c>
      <c r="D20" s="31" t="s">
        <v>10</v>
      </c>
      <c r="E20" s="57">
        <f>IF(C20="Yes",600,E19)</f>
        <v>250</v>
      </c>
      <c r="G20"/>
      <c r="H20"/>
      <c r="I20"/>
      <c r="J20"/>
      <c r="K20"/>
      <c r="L20"/>
      <c r="M20"/>
      <c r="N20"/>
      <c r="O20"/>
      <c r="P20"/>
      <c r="Q20"/>
      <c r="R20"/>
    </row>
    <row r="21" spans="2:18" x14ac:dyDescent="0.2">
      <c r="B21" s="17">
        <v>6</v>
      </c>
      <c r="C21" s="8" t="s">
        <v>73</v>
      </c>
      <c r="D21" s="31" t="s">
        <v>11</v>
      </c>
      <c r="E21" s="36">
        <f>IF(C21="Yes",1.5,1)</f>
        <v>1</v>
      </c>
      <c r="G21"/>
      <c r="H21"/>
      <c r="I21"/>
      <c r="J21"/>
      <c r="K21"/>
      <c r="L21"/>
      <c r="M21"/>
      <c r="N21"/>
      <c r="O21"/>
      <c r="P21"/>
      <c r="Q21"/>
      <c r="R21"/>
    </row>
    <row r="22" spans="2:18" x14ac:dyDescent="0.2">
      <c r="M22" s="58"/>
      <c r="O22" s="22"/>
    </row>
    <row r="23" spans="2:18" x14ac:dyDescent="0.2">
      <c r="C23" s="133" t="str">
        <f>CONCATENATE("Residential Battery System – ",$C$15," kW / ",$C$16," kWh")</f>
        <v>Residential Battery System – 12 kW / 34 kWh</v>
      </c>
      <c r="D23" s="134"/>
      <c r="E23" s="134"/>
      <c r="F23" s="135"/>
      <c r="J23" s="58"/>
      <c r="M23" s="58"/>
      <c r="O23" s="22"/>
    </row>
    <row r="24" spans="2:18" ht="20.25" x14ac:dyDescent="0.2">
      <c r="C24" s="130" t="s">
        <v>12</v>
      </c>
      <c r="D24" s="131"/>
      <c r="E24" s="132"/>
      <c r="F24" s="59">
        <f>MIN($F$25*$C$16,0.5*$C$17,16000.00001)</f>
        <v>8500</v>
      </c>
      <c r="H24" s="58"/>
      <c r="M24" s="58"/>
      <c r="O24" s="22"/>
    </row>
    <row r="25" spans="2:18" x14ac:dyDescent="0.2">
      <c r="C25" s="60" t="s">
        <v>13</v>
      </c>
      <c r="D25" s="60"/>
      <c r="E25" s="60"/>
      <c r="F25" s="61">
        <f>MAX(E19:E20)*E21</f>
        <v>250</v>
      </c>
    </row>
    <row r="26" spans="2:18" x14ac:dyDescent="0.2">
      <c r="C26" s="62" t="s">
        <v>14</v>
      </c>
      <c r="D26" s="62"/>
      <c r="E26" s="62"/>
      <c r="F26" s="63" t="str">
        <f>IF(F24=16000.00001,"$16,000 cap",IF(F24=0.5*$C$17,"50% of total project cost","Rate * kWh"))</f>
        <v>Rate * kWh</v>
      </c>
    </row>
    <row r="27" spans="2:18" ht="37.5" customHeight="1" x14ac:dyDescent="0.2">
      <c r="B27" s="64"/>
      <c r="C27" s="136" t="s">
        <v>15</v>
      </c>
      <c r="D27" s="137"/>
      <c r="E27" s="138"/>
      <c r="F27" s="65">
        <f>$H$48</f>
        <v>10981.47189011011</v>
      </c>
    </row>
    <row r="28" spans="2:18" x14ac:dyDescent="0.2">
      <c r="C28" s="62" t="s">
        <v>16</v>
      </c>
      <c r="D28" s="62"/>
      <c r="E28" s="62"/>
      <c r="F28" s="63" t="str">
        <f>$I$49</f>
        <v>Average kW</v>
      </c>
      <c r="G28" s="66"/>
      <c r="H28" s="66"/>
    </row>
    <row r="29" spans="2:18" x14ac:dyDescent="0.2">
      <c r="G29" s="66"/>
      <c r="H29" s="66"/>
    </row>
    <row r="31" spans="2:18" x14ac:dyDescent="0.2">
      <c r="C31" s="120" t="s">
        <v>17</v>
      </c>
      <c r="D31" s="120"/>
    </row>
    <row r="32" spans="2:18" x14ac:dyDescent="0.2">
      <c r="B32" s="17">
        <v>7</v>
      </c>
      <c r="C32" s="14">
        <v>2.5000000000000001E-2</v>
      </c>
      <c r="D32" s="31" t="s">
        <v>18</v>
      </c>
      <c r="E32" s="67" t="s">
        <v>19</v>
      </c>
      <c r="F32" s="67"/>
      <c r="G32" s="67"/>
    </row>
    <row r="33" spans="2:32" x14ac:dyDescent="0.2">
      <c r="B33" s="17">
        <v>8</v>
      </c>
      <c r="C33" s="15">
        <v>0.75</v>
      </c>
      <c r="D33" s="31" t="s">
        <v>20</v>
      </c>
      <c r="E33" s="67" t="s">
        <v>21</v>
      </c>
      <c r="F33" s="67"/>
      <c r="G33" s="67"/>
    </row>
    <row r="34" spans="2:32" ht="12.75" customHeight="1" x14ac:dyDescent="0.2">
      <c r="B34" s="17">
        <v>9</v>
      </c>
      <c r="C34" s="15">
        <v>0.8</v>
      </c>
      <c r="D34" s="31" t="s">
        <v>22</v>
      </c>
      <c r="E34" s="128" t="s">
        <v>137</v>
      </c>
      <c r="F34" s="128"/>
      <c r="G34" s="128"/>
      <c r="H34" s="68"/>
    </row>
    <row r="35" spans="2:32" ht="12.75" customHeight="1" x14ac:dyDescent="0.2">
      <c r="E35" s="128"/>
      <c r="F35" s="128"/>
      <c r="G35" s="128"/>
      <c r="H35" s="68"/>
    </row>
    <row r="36" spans="2:32" ht="34.5" customHeight="1" x14ac:dyDescent="0.2">
      <c r="C36" s="126" t="s">
        <v>23</v>
      </c>
      <c r="D36" s="127"/>
      <c r="E36" s="129"/>
      <c r="F36" s="129"/>
      <c r="G36" s="129"/>
      <c r="H36" s="69"/>
    </row>
    <row r="37" spans="2:32" x14ac:dyDescent="0.2">
      <c r="C37" s="37"/>
      <c r="D37" s="37" t="s">
        <v>24</v>
      </c>
      <c r="E37" s="37" t="s">
        <v>25</v>
      </c>
      <c r="F37" s="37" t="s">
        <v>26</v>
      </c>
      <c r="G37" s="37" t="s">
        <v>27</v>
      </c>
      <c r="H37" s="37" t="s">
        <v>28</v>
      </c>
    </row>
    <row r="38" spans="2:32" x14ac:dyDescent="0.2">
      <c r="C38" s="38" t="s">
        <v>29</v>
      </c>
      <c r="D38" s="39">
        <f>C16</f>
        <v>34</v>
      </c>
      <c r="E38" s="40">
        <f t="shared" ref="E38:E47" si="0">(D38*$C$33*$C$34)/3</f>
        <v>6.8000000000000007</v>
      </c>
      <c r="F38" s="41">
        <f>200*(MIN(E38,$C$15))</f>
        <v>1360.0000000000002</v>
      </c>
      <c r="G38" s="42">
        <f>25*(MIN(E38,$C$15))</f>
        <v>170.00000000000003</v>
      </c>
      <c r="H38" s="42">
        <f>SUM(F38:G38)</f>
        <v>1530.0000000000002</v>
      </c>
      <c r="I38" s="36"/>
      <c r="J38" s="70">
        <f>NPV(10%,H38:H47)</f>
        <v>7295.922221675698</v>
      </c>
      <c r="K38" s="71">
        <f>E38/$D$38*3</f>
        <v>0.60000000000000009</v>
      </c>
    </row>
    <row r="39" spans="2:32" s="64" customFormat="1" x14ac:dyDescent="0.2">
      <c r="B39" s="16"/>
      <c r="C39" s="44" t="s">
        <v>30</v>
      </c>
      <c r="D39" s="45">
        <f t="shared" ref="D39:D47" si="1">D38*(1-$C$32)</f>
        <v>33.15</v>
      </c>
      <c r="E39" s="40">
        <f t="shared" si="0"/>
        <v>6.63</v>
      </c>
      <c r="F39" s="41">
        <f>200*(MIN(E39,$C$15))</f>
        <v>1326</v>
      </c>
      <c r="G39" s="42">
        <f>25*(MIN(E39,$C$15))</f>
        <v>165.75</v>
      </c>
      <c r="H39" s="42">
        <f t="shared" ref="H39:H47" si="2">SUM(F39:G39)</f>
        <v>1491.75</v>
      </c>
      <c r="I39" s="72"/>
      <c r="J39" s="72"/>
      <c r="K39" s="71">
        <f t="shared" ref="K39:K47" si="3">E39/$D$38*3</f>
        <v>0.58499999999999996</v>
      </c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</row>
    <row r="40" spans="2:32" x14ac:dyDescent="0.2">
      <c r="C40" s="44" t="s">
        <v>31</v>
      </c>
      <c r="D40" s="45">
        <f t="shared" si="1"/>
        <v>32.321249999999999</v>
      </c>
      <c r="E40" s="40">
        <f t="shared" si="0"/>
        <v>6.4642500000000007</v>
      </c>
      <c r="F40" s="41">
        <f>200*(MIN(E40,$C$15))</f>
        <v>1292.8500000000001</v>
      </c>
      <c r="G40" s="42">
        <f>25*(MIN(E40,$C$15))</f>
        <v>161.60625000000002</v>
      </c>
      <c r="H40" s="42">
        <f t="shared" si="2"/>
        <v>1454.4562500000002</v>
      </c>
      <c r="I40" s="36"/>
      <c r="J40" s="36"/>
      <c r="K40" s="71">
        <f t="shared" si="3"/>
        <v>0.57037500000000008</v>
      </c>
    </row>
    <row r="41" spans="2:32" x14ac:dyDescent="0.2">
      <c r="C41" s="44" t="s">
        <v>32</v>
      </c>
      <c r="D41" s="45">
        <f t="shared" si="1"/>
        <v>31.51321875</v>
      </c>
      <c r="E41" s="40">
        <f t="shared" si="0"/>
        <v>6.3026437500000005</v>
      </c>
      <c r="F41" s="41">
        <f>200*(MIN(E41,$C$15))</f>
        <v>1260.5287500000002</v>
      </c>
      <c r="G41" s="42">
        <f>25*(MIN(E41,$C$15))</f>
        <v>157.56609375000002</v>
      </c>
      <c r="H41" s="42">
        <f t="shared" si="2"/>
        <v>1418.0948437500001</v>
      </c>
      <c r="I41" s="36"/>
      <c r="J41" s="36"/>
      <c r="K41" s="71">
        <f t="shared" si="3"/>
        <v>0.55611562500000011</v>
      </c>
    </row>
    <row r="42" spans="2:32" x14ac:dyDescent="0.2">
      <c r="C42" s="44" t="s">
        <v>33</v>
      </c>
      <c r="D42" s="45">
        <f t="shared" si="1"/>
        <v>30.725388281249998</v>
      </c>
      <c r="E42" s="40">
        <f t="shared" si="0"/>
        <v>6.1450776562499998</v>
      </c>
      <c r="F42" s="41">
        <f>200*(MIN(E42,$C$15))</f>
        <v>1229.0155312499999</v>
      </c>
      <c r="G42" s="42">
        <f>25*(MIN(E42,$C$15))</f>
        <v>153.62694140624998</v>
      </c>
      <c r="H42" s="42">
        <f t="shared" si="2"/>
        <v>1382.6424726562498</v>
      </c>
      <c r="I42" s="36"/>
      <c r="J42" s="36"/>
      <c r="K42" s="71">
        <f t="shared" si="3"/>
        <v>0.54221273437499995</v>
      </c>
    </row>
    <row r="43" spans="2:32" x14ac:dyDescent="0.2">
      <c r="C43" s="44" t="s">
        <v>34</v>
      </c>
      <c r="D43" s="45">
        <f t="shared" si="1"/>
        <v>29.957253574218747</v>
      </c>
      <c r="E43" s="40">
        <f t="shared" si="0"/>
        <v>5.9914507148437499</v>
      </c>
      <c r="F43" s="41">
        <f>115*(MIN(E43,$C$15))</f>
        <v>689.01683220703126</v>
      </c>
      <c r="G43" s="42">
        <f>15*(MIN(E43,$C$15))</f>
        <v>89.871760722656248</v>
      </c>
      <c r="H43" s="42">
        <f t="shared" si="2"/>
        <v>778.88859292968755</v>
      </c>
      <c r="I43" s="36"/>
      <c r="J43" s="36"/>
      <c r="K43" s="71">
        <f t="shared" si="3"/>
        <v>0.52865741601562499</v>
      </c>
    </row>
    <row r="44" spans="2:32" x14ac:dyDescent="0.2">
      <c r="C44" s="44" t="s">
        <v>35</v>
      </c>
      <c r="D44" s="45">
        <f t="shared" si="1"/>
        <v>29.208322234863278</v>
      </c>
      <c r="E44" s="40">
        <f t="shared" si="0"/>
        <v>5.8416644469726569</v>
      </c>
      <c r="F44" s="41">
        <f>115*(MIN(E44,$C$15))</f>
        <v>671.7914114018555</v>
      </c>
      <c r="G44" s="42">
        <f>15*(MIN(E44,$C$15))</f>
        <v>87.624966704589852</v>
      </c>
      <c r="H44" s="42">
        <f t="shared" si="2"/>
        <v>759.41637810644534</v>
      </c>
      <c r="I44" s="36"/>
      <c r="J44" s="36"/>
      <c r="K44" s="71">
        <f t="shared" si="3"/>
        <v>0.51544098061523447</v>
      </c>
    </row>
    <row r="45" spans="2:32" x14ac:dyDescent="0.2">
      <c r="C45" s="44" t="s">
        <v>36</v>
      </c>
      <c r="D45" s="45">
        <f t="shared" si="1"/>
        <v>28.478114178991696</v>
      </c>
      <c r="E45" s="40">
        <f t="shared" si="0"/>
        <v>5.6956228357983401</v>
      </c>
      <c r="F45" s="41">
        <f>115*(MIN(E45,$C$15))</f>
        <v>654.99662611680913</v>
      </c>
      <c r="G45" s="42">
        <f>15*(MIN(E45,$C$15))</f>
        <v>85.434342536975095</v>
      </c>
      <c r="H45" s="42">
        <f t="shared" si="2"/>
        <v>740.43096865378425</v>
      </c>
      <c r="I45" s="36"/>
      <c r="J45" s="36"/>
      <c r="K45" s="71">
        <f t="shared" si="3"/>
        <v>0.50255495609985357</v>
      </c>
    </row>
    <row r="46" spans="2:32" x14ac:dyDescent="0.2">
      <c r="C46" s="44" t="s">
        <v>37</v>
      </c>
      <c r="D46" s="45">
        <f t="shared" si="1"/>
        <v>27.766161324516904</v>
      </c>
      <c r="E46" s="40">
        <f t="shared" si="0"/>
        <v>5.5532322649033814</v>
      </c>
      <c r="F46" s="41">
        <f>115*(MIN(E46,$C$15))</f>
        <v>638.62171046388892</v>
      </c>
      <c r="G46" s="42">
        <f>15*(MIN(E46,$C$15))</f>
        <v>83.298483973550717</v>
      </c>
      <c r="H46" s="42">
        <f t="shared" si="2"/>
        <v>721.92019443743959</v>
      </c>
      <c r="I46" s="36"/>
      <c r="J46" s="36"/>
      <c r="K46" s="71">
        <f t="shared" si="3"/>
        <v>0.48999108219735715</v>
      </c>
    </row>
    <row r="47" spans="2:32" x14ac:dyDescent="0.2">
      <c r="C47" s="46" t="s">
        <v>38</v>
      </c>
      <c r="D47" s="47">
        <f t="shared" si="1"/>
        <v>27.072007291403981</v>
      </c>
      <c r="E47" s="48">
        <f t="shared" si="0"/>
        <v>5.4144014582807962</v>
      </c>
      <c r="F47" s="49">
        <f>115*(MIN(E47,$C$15))</f>
        <v>622.65616770229155</v>
      </c>
      <c r="G47" s="50">
        <f>15*(MIN(E47,$C$15))</f>
        <v>81.216021874211947</v>
      </c>
      <c r="H47" s="50">
        <f t="shared" si="2"/>
        <v>703.8721895765035</v>
      </c>
      <c r="I47" s="36"/>
      <c r="J47" s="36"/>
      <c r="K47" s="71">
        <f t="shared" si="3"/>
        <v>0.47774130514242319</v>
      </c>
    </row>
    <row r="48" spans="2:32" ht="13.5" thickBot="1" x14ac:dyDescent="0.25">
      <c r="C48" s="51"/>
      <c r="E48"/>
      <c r="G48" s="54" t="s">
        <v>136</v>
      </c>
      <c r="H48" s="53">
        <f>SUM(H38:H47)</f>
        <v>10981.47189011011</v>
      </c>
      <c r="I48" s="36"/>
      <c r="J48" s="72"/>
      <c r="K48" s="36"/>
    </row>
    <row r="49" spans="3:11" ht="13.5" thickBot="1" x14ac:dyDescent="0.25">
      <c r="G49" s="55" t="s">
        <v>39</v>
      </c>
      <c r="H49" s="56">
        <v>45511</v>
      </c>
      <c r="I49" s="36" t="str">
        <f>IF(F38=(C15*200),"Limited by inverter size","Average kW")</f>
        <v>Average kW</v>
      </c>
      <c r="J49" s="36"/>
      <c r="K49" s="36"/>
    </row>
    <row r="50" spans="3:11" x14ac:dyDescent="0.2">
      <c r="C50" s="51"/>
      <c r="I50" s="36"/>
      <c r="J50" s="36"/>
      <c r="K50" s="36"/>
    </row>
    <row r="51" spans="3:11" customFormat="1" x14ac:dyDescent="0.2"/>
    <row r="52" spans="3:11" customFormat="1" x14ac:dyDescent="0.2"/>
    <row r="53" spans="3:11" customFormat="1" x14ac:dyDescent="0.2"/>
    <row r="54" spans="3:11" customFormat="1" x14ac:dyDescent="0.2"/>
    <row r="55" spans="3:11" customFormat="1" x14ac:dyDescent="0.2"/>
    <row r="56" spans="3:11" customFormat="1" x14ac:dyDescent="0.2"/>
    <row r="57" spans="3:11" customFormat="1" x14ac:dyDescent="0.2"/>
    <row r="58" spans="3:11" customFormat="1" x14ac:dyDescent="0.2"/>
    <row r="59" spans="3:11" customFormat="1" x14ac:dyDescent="0.2"/>
    <row r="60" spans="3:11" customFormat="1" x14ac:dyDescent="0.2"/>
    <row r="61" spans="3:11" customFormat="1" x14ac:dyDescent="0.2"/>
    <row r="62" spans="3:11" customFormat="1" x14ac:dyDescent="0.2"/>
    <row r="63" spans="3:11" customFormat="1" x14ac:dyDescent="0.2"/>
    <row r="64" spans="3:11" customFormat="1" x14ac:dyDescent="0.2"/>
    <row r="65" spans="7:8" customFormat="1" x14ac:dyDescent="0.2"/>
    <row r="66" spans="7:8" customFormat="1" x14ac:dyDescent="0.2"/>
    <row r="67" spans="7:8" customFormat="1" x14ac:dyDescent="0.2">
      <c r="G67" s="16"/>
      <c r="H67" s="16"/>
    </row>
  </sheetData>
  <sheetProtection sheet="1" objects="1" scenarios="1"/>
  <mergeCells count="11">
    <mergeCell ref="E34:G36"/>
    <mergeCell ref="C6:D6"/>
    <mergeCell ref="C24:E24"/>
    <mergeCell ref="C31:D31"/>
    <mergeCell ref="C23:F23"/>
    <mergeCell ref="C18:D18"/>
    <mergeCell ref="C14:D14"/>
    <mergeCell ref="C27:E27"/>
    <mergeCell ref="C7:D9"/>
    <mergeCell ref="C11:D13"/>
    <mergeCell ref="C36:D36"/>
  </mergeCells>
  <phoneticPr fontId="4" type="noConversion"/>
  <hyperlinks>
    <hyperlink ref="D19" r:id="rId1" xr:uid="{85FD1A7E-CE7C-4CB1-9B61-B30FE28F1D77}"/>
  </hyperlinks>
  <pageMargins left="0.7" right="0.7" top="0.75" bottom="0.75" header="0.3" footer="0.3"/>
  <pageSetup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2B553F2-5AF8-4C48-917C-82D96DA8928D}">
          <x14:formula1>
            <xm:f>Picklists!$B$2:$B$22</xm:f>
          </x14:formula1>
          <xm:sqref>C33:C34</xm:sqref>
        </x14:dataValidation>
        <x14:dataValidation type="list" allowBlank="1" showInputMessage="1" showErrorMessage="1" xr:uid="{A45D5741-DD5F-443D-A6B1-75845B3F13E3}">
          <x14:formula1>
            <xm:f>Picklists!$A$2:$A$3</xm:f>
          </x14:formula1>
          <xm:sqref>C20:C21</xm:sqref>
        </x14:dataValidation>
        <x14:dataValidation type="list" allowBlank="1" showInputMessage="1" showErrorMessage="1" xr:uid="{22EAB991-DD01-4AEC-AAC2-5F7E524CF863}">
          <x14:formula1>
            <xm:f>Picklists!$C$2:$C$22</xm:f>
          </x14:formula1>
          <xm:sqref>C32</xm:sqref>
        </x14:dataValidation>
        <x14:dataValidation type="list" errorStyle="information" allowBlank="1" showInputMessage="1" showErrorMessage="1" xr:uid="{4BF88DC3-E92E-4ACF-A945-69BFA52C02C9}">
          <x14:formula1>
            <xm:f>Picklists!$G$2:$G$36</xm:f>
          </x14:formula1>
          <xm:sqref>C19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B882A-B421-4921-B91E-92AC6D4C421A}">
  <dimension ref="A1:S36"/>
  <sheetViews>
    <sheetView topLeftCell="C1" workbookViewId="0">
      <selection activeCell="Q6" sqref="Q6"/>
    </sheetView>
  </sheetViews>
  <sheetFormatPr defaultRowHeight="12.75" x14ac:dyDescent="0.2"/>
  <cols>
    <col min="1" max="1" width="4.28515625" bestFit="1" customWidth="1"/>
    <col min="2" max="2" width="15.5703125" bestFit="1" customWidth="1"/>
    <col min="3" max="3" width="14.5703125" bestFit="1" customWidth="1"/>
    <col min="4" max="4" width="10.5703125" bestFit="1" customWidth="1"/>
    <col min="5" max="5" width="18.140625" bestFit="1" customWidth="1"/>
    <col min="6" max="6" width="11.140625" bestFit="1" customWidth="1"/>
    <col min="7" max="7" width="35.7109375" bestFit="1" customWidth="1"/>
    <col min="9" max="9" width="18.140625" bestFit="1" customWidth="1"/>
    <col min="12" max="12" width="18.28515625" customWidth="1"/>
    <col min="13" max="13" width="7" bestFit="1" customWidth="1"/>
    <col min="14" max="14" width="5.85546875" bestFit="1" customWidth="1"/>
    <col min="16" max="16" width="21" customWidth="1"/>
    <col min="17" max="17" width="18" bestFit="1" customWidth="1"/>
    <col min="18" max="18" width="19.7109375" bestFit="1" customWidth="1"/>
  </cols>
  <sheetData>
    <row r="1" spans="1:19" s="2" customFormat="1" x14ac:dyDescent="0.2">
      <c r="A1" s="2" t="s">
        <v>62</v>
      </c>
      <c r="B1" s="2" t="s">
        <v>63</v>
      </c>
      <c r="C1" s="2" t="s">
        <v>64</v>
      </c>
      <c r="D1" s="2" t="s">
        <v>65</v>
      </c>
      <c r="E1" s="2" t="s">
        <v>66</v>
      </c>
      <c r="F1" s="2" t="s">
        <v>67</v>
      </c>
      <c r="G1" s="2" t="s">
        <v>68</v>
      </c>
      <c r="H1" s="2" t="s">
        <v>69</v>
      </c>
      <c r="I1" s="2" t="s">
        <v>138</v>
      </c>
    </row>
    <row r="2" spans="1:19" x14ac:dyDescent="0.2">
      <c r="A2" t="s">
        <v>9</v>
      </c>
      <c r="B2" s="1">
        <v>1</v>
      </c>
      <c r="C2" s="3">
        <v>0</v>
      </c>
      <c r="D2" t="s">
        <v>70</v>
      </c>
      <c r="E2" t="s">
        <v>71</v>
      </c>
      <c r="F2" t="s">
        <v>72</v>
      </c>
      <c r="G2" t="s">
        <v>7</v>
      </c>
      <c r="I2" t="s">
        <v>82</v>
      </c>
    </row>
    <row r="3" spans="1:19" x14ac:dyDescent="0.2">
      <c r="A3" t="s">
        <v>73</v>
      </c>
      <c r="B3" s="1">
        <v>0.95</v>
      </c>
      <c r="C3" s="3">
        <v>5.0000000000000001E-3</v>
      </c>
      <c r="D3" t="s">
        <v>74</v>
      </c>
      <c r="E3" t="s">
        <v>45</v>
      </c>
      <c r="F3" t="s">
        <v>75</v>
      </c>
      <c r="G3" t="s">
        <v>76</v>
      </c>
      <c r="I3" t="s">
        <v>45</v>
      </c>
    </row>
    <row r="4" spans="1:19" ht="15.75" x14ac:dyDescent="0.25">
      <c r="B4" s="1">
        <v>0.9</v>
      </c>
      <c r="C4" s="3">
        <v>0.01</v>
      </c>
      <c r="E4" t="s">
        <v>77</v>
      </c>
      <c r="F4" t="s">
        <v>78</v>
      </c>
      <c r="G4" t="s">
        <v>79</v>
      </c>
      <c r="I4" t="s">
        <v>77</v>
      </c>
      <c r="L4" s="74" t="s">
        <v>80</v>
      </c>
      <c r="M4" s="74"/>
      <c r="N4" s="74"/>
      <c r="Q4" s="74" t="s">
        <v>81</v>
      </c>
    </row>
    <row r="5" spans="1:19" ht="15.75" x14ac:dyDescent="0.25">
      <c r="B5" s="1">
        <v>0.85</v>
      </c>
      <c r="C5" s="3">
        <v>1.4999999999999999E-2</v>
      </c>
      <c r="E5" t="s">
        <v>89</v>
      </c>
      <c r="F5" t="s">
        <v>83</v>
      </c>
      <c r="G5" t="s">
        <v>84</v>
      </c>
      <c r="I5" t="s">
        <v>89</v>
      </c>
      <c r="L5" s="75" t="s">
        <v>85</v>
      </c>
      <c r="M5" s="75" t="s">
        <v>86</v>
      </c>
      <c r="N5" s="75" t="s">
        <v>87</v>
      </c>
      <c r="P5" s="76"/>
      <c r="Q5" s="75" t="s">
        <v>85</v>
      </c>
      <c r="R5" s="75" t="s">
        <v>88</v>
      </c>
    </row>
    <row r="6" spans="1:19" ht="15" x14ac:dyDescent="0.2">
      <c r="B6" s="1">
        <v>0.8</v>
      </c>
      <c r="C6" s="3">
        <v>0.02</v>
      </c>
      <c r="G6" t="s">
        <v>90</v>
      </c>
      <c r="L6" s="77" t="s">
        <v>76</v>
      </c>
      <c r="M6" s="78">
        <v>1311.6666666666667</v>
      </c>
      <c r="N6" s="79">
        <v>8</v>
      </c>
      <c r="Q6" s="80" t="s">
        <v>91</v>
      </c>
      <c r="R6" s="81">
        <v>45510</v>
      </c>
      <c r="S6" s="88" t="s">
        <v>92</v>
      </c>
    </row>
    <row r="7" spans="1:19" ht="15" x14ac:dyDescent="0.2">
      <c r="B7" s="1">
        <v>0.75</v>
      </c>
      <c r="C7" s="3">
        <v>2.5000000000000001E-2</v>
      </c>
      <c r="G7" t="s">
        <v>93</v>
      </c>
      <c r="L7" s="82" t="s">
        <v>79</v>
      </c>
      <c r="M7" s="83">
        <v>1283.3333333333333</v>
      </c>
      <c r="N7" s="84">
        <v>12</v>
      </c>
      <c r="Q7" s="80" t="s">
        <v>94</v>
      </c>
      <c r="R7" s="81">
        <v>45916</v>
      </c>
      <c r="S7" s="88" t="s">
        <v>95</v>
      </c>
    </row>
    <row r="8" spans="1:19" ht="15" x14ac:dyDescent="0.2">
      <c r="B8" s="1">
        <v>0.7</v>
      </c>
      <c r="C8" s="3">
        <v>0.03</v>
      </c>
      <c r="G8" t="s">
        <v>96</v>
      </c>
      <c r="L8" s="82" t="s">
        <v>90</v>
      </c>
      <c r="M8" s="83">
        <v>1188</v>
      </c>
      <c r="N8" s="84">
        <v>21</v>
      </c>
      <c r="Q8" s="80" t="s">
        <v>97</v>
      </c>
      <c r="R8" s="81">
        <v>45916</v>
      </c>
      <c r="S8" s="88" t="s">
        <v>95</v>
      </c>
    </row>
    <row r="9" spans="1:19" ht="15" x14ac:dyDescent="0.2">
      <c r="B9" s="1">
        <v>0.65</v>
      </c>
      <c r="C9" s="3">
        <v>3.5000000000000003E-2</v>
      </c>
      <c r="G9" t="s">
        <v>98</v>
      </c>
      <c r="L9" s="82" t="s">
        <v>93</v>
      </c>
      <c r="M9" s="83">
        <v>1299.3333333333333</v>
      </c>
      <c r="N9" s="84">
        <v>10</v>
      </c>
      <c r="Q9" s="80" t="s">
        <v>99</v>
      </c>
      <c r="R9" s="81">
        <v>46275</v>
      </c>
      <c r="S9" s="88" t="s">
        <v>100</v>
      </c>
    </row>
    <row r="10" spans="1:19" ht="15" x14ac:dyDescent="0.2">
      <c r="B10" s="1">
        <v>0.6</v>
      </c>
      <c r="C10" s="3">
        <v>0.04</v>
      </c>
      <c r="G10" t="s">
        <v>102</v>
      </c>
      <c r="L10" s="82" t="s">
        <v>96</v>
      </c>
      <c r="M10" s="83">
        <v>1318.3333333333333</v>
      </c>
      <c r="N10" s="84">
        <v>5</v>
      </c>
      <c r="Q10" s="80" t="s">
        <v>101</v>
      </c>
      <c r="R10" s="81">
        <v>46275</v>
      </c>
      <c r="S10" s="88" t="s">
        <v>100</v>
      </c>
    </row>
    <row r="11" spans="1:19" ht="15" x14ac:dyDescent="0.2">
      <c r="B11" s="1">
        <v>0.55000000000000004</v>
      </c>
      <c r="C11" s="3">
        <v>4.4999999999999998E-2</v>
      </c>
      <c r="G11" t="s">
        <v>105</v>
      </c>
      <c r="L11" s="82" t="s">
        <v>98</v>
      </c>
      <c r="M11" s="83">
        <v>1133.3333333333333</v>
      </c>
      <c r="N11" s="84">
        <v>25</v>
      </c>
      <c r="Q11" s="80" t="s">
        <v>103</v>
      </c>
      <c r="R11" s="81">
        <v>46663</v>
      </c>
      <c r="S11" s="88" t="s">
        <v>104</v>
      </c>
    </row>
    <row r="12" spans="1:19" ht="15" x14ac:dyDescent="0.2">
      <c r="B12" s="1">
        <v>0.5</v>
      </c>
      <c r="C12" s="3">
        <v>0.05</v>
      </c>
      <c r="G12" t="s">
        <v>108</v>
      </c>
      <c r="L12" s="82" t="s">
        <v>102</v>
      </c>
      <c r="M12" s="83">
        <v>1360</v>
      </c>
      <c r="N12" s="84">
        <v>2</v>
      </c>
      <c r="Q12" s="80" t="s">
        <v>106</v>
      </c>
      <c r="R12" s="81">
        <v>47030</v>
      </c>
      <c r="S12" s="88" t="s">
        <v>107</v>
      </c>
    </row>
    <row r="13" spans="1:19" ht="15" x14ac:dyDescent="0.2">
      <c r="B13" s="1">
        <v>0.45</v>
      </c>
      <c r="C13" s="3">
        <v>5.5E-2</v>
      </c>
      <c r="G13" t="s">
        <v>110</v>
      </c>
      <c r="L13" s="82" t="s">
        <v>108</v>
      </c>
      <c r="M13" s="83">
        <v>1348.3333333333333</v>
      </c>
      <c r="N13" s="84">
        <v>3</v>
      </c>
      <c r="Q13" s="80" t="s">
        <v>109</v>
      </c>
      <c r="R13" s="81">
        <v>47030</v>
      </c>
      <c r="S13" s="88" t="s">
        <v>107</v>
      </c>
    </row>
    <row r="14" spans="1:19" ht="15" x14ac:dyDescent="0.2">
      <c r="B14" s="1">
        <v>0.39999999999999902</v>
      </c>
      <c r="C14" s="3">
        <v>0.06</v>
      </c>
      <c r="G14" t="s">
        <v>111</v>
      </c>
      <c r="L14" s="82" t="s">
        <v>111</v>
      </c>
      <c r="M14" s="83">
        <v>1202.3333333333335</v>
      </c>
      <c r="N14" s="84">
        <v>18</v>
      </c>
      <c r="Q14" s="80" t="s">
        <v>112</v>
      </c>
      <c r="R14" s="81">
        <v>47030</v>
      </c>
      <c r="S14" s="88" t="s">
        <v>107</v>
      </c>
    </row>
    <row r="15" spans="1:19" ht="15" x14ac:dyDescent="0.2">
      <c r="B15" s="1">
        <v>0.34999999999999898</v>
      </c>
      <c r="C15" s="3">
        <v>6.5000000000000002E-2</v>
      </c>
      <c r="G15" t="s">
        <v>113</v>
      </c>
      <c r="L15" s="82" t="s">
        <v>113</v>
      </c>
      <c r="M15" s="83">
        <v>1229.6666666666665</v>
      </c>
      <c r="N15" s="84">
        <v>16</v>
      </c>
      <c r="Q15" s="80" t="s">
        <v>114</v>
      </c>
      <c r="R15" s="81">
        <v>47030</v>
      </c>
      <c r="S15" s="88" t="s">
        <v>107</v>
      </c>
    </row>
    <row r="16" spans="1:19" ht="15" x14ac:dyDescent="0.2">
      <c r="B16" s="1">
        <v>0.29999999999999899</v>
      </c>
      <c r="C16" s="3">
        <v>7.0000000000000007E-2</v>
      </c>
      <c r="G16" t="s">
        <v>115</v>
      </c>
      <c r="L16" s="82" t="s">
        <v>115</v>
      </c>
      <c r="M16" s="83">
        <v>1198</v>
      </c>
      <c r="N16" s="84">
        <v>20</v>
      </c>
    </row>
    <row r="17" spans="2:14" ht="15" x14ac:dyDescent="0.2">
      <c r="B17" s="1">
        <v>0.249999999999999</v>
      </c>
      <c r="C17" s="3">
        <v>7.4999999999999997E-2</v>
      </c>
      <c r="G17" t="s">
        <v>116</v>
      </c>
      <c r="L17" s="82" t="s">
        <v>116</v>
      </c>
      <c r="M17" s="83">
        <v>1182.6666666666667</v>
      </c>
      <c r="N17" s="84">
        <v>22</v>
      </c>
    </row>
    <row r="18" spans="2:14" ht="15" x14ac:dyDescent="0.2">
      <c r="B18" s="1">
        <v>0.19999999999999901</v>
      </c>
      <c r="C18" s="3">
        <v>0.08</v>
      </c>
      <c r="G18" t="s">
        <v>118</v>
      </c>
      <c r="L18" s="82" t="s">
        <v>117</v>
      </c>
      <c r="M18" s="83">
        <v>1269.3333333333333</v>
      </c>
      <c r="N18" s="84">
        <v>13</v>
      </c>
    </row>
    <row r="19" spans="2:14" ht="15" x14ac:dyDescent="0.2">
      <c r="B19" s="1">
        <v>0.149999999999999</v>
      </c>
      <c r="C19" s="3">
        <v>8.5000000000000006E-2</v>
      </c>
      <c r="G19" t="s">
        <v>117</v>
      </c>
      <c r="L19" s="82" t="s">
        <v>119</v>
      </c>
      <c r="M19" s="83">
        <v>1346.6666666666667</v>
      </c>
      <c r="N19" s="84">
        <v>4</v>
      </c>
    </row>
    <row r="20" spans="2:14" ht="15" x14ac:dyDescent="0.2">
      <c r="B20" s="1">
        <v>9.9999999999999006E-2</v>
      </c>
      <c r="C20" s="3">
        <v>0.09</v>
      </c>
      <c r="G20" t="s">
        <v>121</v>
      </c>
      <c r="L20" s="82" t="s">
        <v>120</v>
      </c>
      <c r="M20" s="83">
        <v>1313</v>
      </c>
      <c r="N20" s="84">
        <v>7</v>
      </c>
    </row>
    <row r="21" spans="2:14" ht="15" x14ac:dyDescent="0.2">
      <c r="B21" s="1">
        <v>4.9999999999998997E-2</v>
      </c>
      <c r="C21" s="3">
        <v>9.5000000000000001E-2</v>
      </c>
      <c r="G21" t="s">
        <v>119</v>
      </c>
      <c r="L21" s="82" t="s">
        <v>122</v>
      </c>
      <c r="M21" s="83">
        <v>1199</v>
      </c>
      <c r="N21" s="84">
        <v>19</v>
      </c>
    </row>
    <row r="22" spans="2:14" ht="15" x14ac:dyDescent="0.2">
      <c r="B22" s="1">
        <v>0</v>
      </c>
      <c r="C22" s="3">
        <v>0.1</v>
      </c>
      <c r="G22" t="s">
        <v>124</v>
      </c>
      <c r="L22" s="82" t="s">
        <v>123</v>
      </c>
      <c r="M22" s="83">
        <v>1251.6666666666667</v>
      </c>
      <c r="N22" s="84">
        <v>14</v>
      </c>
    </row>
    <row r="23" spans="2:14" ht="15" x14ac:dyDescent="0.2">
      <c r="G23" t="s">
        <v>120</v>
      </c>
      <c r="L23" s="82" t="s">
        <v>125</v>
      </c>
      <c r="M23" s="83">
        <v>1287.3333333333333</v>
      </c>
      <c r="N23" s="84">
        <v>11</v>
      </c>
    </row>
    <row r="24" spans="2:14" ht="15" x14ac:dyDescent="0.2">
      <c r="G24" t="s">
        <v>127</v>
      </c>
      <c r="L24" s="82" t="s">
        <v>126</v>
      </c>
      <c r="M24" s="83">
        <v>1246.3333333333333</v>
      </c>
      <c r="N24" s="84">
        <v>15</v>
      </c>
    </row>
    <row r="25" spans="2:14" ht="15" x14ac:dyDescent="0.2">
      <c r="G25" t="s">
        <v>122</v>
      </c>
      <c r="L25" s="82" t="s">
        <v>128</v>
      </c>
      <c r="M25" s="83">
        <v>1316.3333333333333</v>
      </c>
      <c r="N25" s="84">
        <v>6</v>
      </c>
    </row>
    <row r="26" spans="2:14" ht="15" x14ac:dyDescent="0.2">
      <c r="G26" t="s">
        <v>130</v>
      </c>
      <c r="L26" s="82" t="s">
        <v>129</v>
      </c>
      <c r="M26" s="83">
        <v>1170.3333333333333</v>
      </c>
      <c r="N26" s="84">
        <v>24</v>
      </c>
    </row>
    <row r="27" spans="2:14" ht="15" x14ac:dyDescent="0.2">
      <c r="G27" t="s">
        <v>123</v>
      </c>
      <c r="L27" s="82" t="s">
        <v>131</v>
      </c>
      <c r="M27" s="83">
        <v>1301.6666666666667</v>
      </c>
      <c r="N27" s="84">
        <v>9</v>
      </c>
    </row>
    <row r="28" spans="2:14" ht="15" x14ac:dyDescent="0.2">
      <c r="G28" t="s">
        <v>125</v>
      </c>
      <c r="L28" s="82" t="s">
        <v>132</v>
      </c>
      <c r="M28" s="83">
        <v>1180.3333333333333</v>
      </c>
      <c r="N28" s="84">
        <v>23</v>
      </c>
    </row>
    <row r="29" spans="2:14" ht="15" x14ac:dyDescent="0.2">
      <c r="G29" t="s">
        <v>126</v>
      </c>
      <c r="L29" s="82" t="s">
        <v>133</v>
      </c>
      <c r="M29" s="83">
        <v>1224</v>
      </c>
      <c r="N29" s="84">
        <v>17</v>
      </c>
    </row>
    <row r="30" spans="2:14" ht="15" x14ac:dyDescent="0.2">
      <c r="G30" t="s">
        <v>135</v>
      </c>
      <c r="L30" s="85" t="s">
        <v>134</v>
      </c>
      <c r="M30" s="86">
        <v>1454.3333333333333</v>
      </c>
      <c r="N30" s="87">
        <v>1</v>
      </c>
    </row>
    <row r="31" spans="2:14" x14ac:dyDescent="0.2">
      <c r="G31" t="s">
        <v>128</v>
      </c>
    </row>
    <row r="32" spans="2:14" x14ac:dyDescent="0.2">
      <c r="G32" t="s">
        <v>129</v>
      </c>
    </row>
    <row r="33" spans="7:7" x14ac:dyDescent="0.2">
      <c r="G33" t="s">
        <v>131</v>
      </c>
    </row>
    <row r="34" spans="7:7" x14ac:dyDescent="0.2">
      <c r="G34" t="s">
        <v>132</v>
      </c>
    </row>
    <row r="35" spans="7:7" x14ac:dyDescent="0.2">
      <c r="G35" t="s">
        <v>133</v>
      </c>
    </row>
    <row r="36" spans="7:7" x14ac:dyDescent="0.2">
      <c r="G36" t="s">
        <v>134</v>
      </c>
    </row>
  </sheetData>
  <sortState xmlns:xlrd2="http://schemas.microsoft.com/office/spreadsheetml/2017/richdata2" ref="G3:G37">
    <sortCondition ref="G3:G37"/>
  </sortState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b30647e-2852-4824-8010-b226207861fa" xsi:nil="true"/>
    <lcf76f155ced4ddcb4097134ff3c332f xmlns="f2870893-db66-4aa3-85e9-3efb17b0b061">
      <Terms xmlns="http://schemas.microsoft.com/office/infopath/2007/PartnerControls"/>
    </lcf76f155ced4ddcb4097134ff3c332f>
    <SharedWithUsers xmlns="1b30647e-2852-4824-8010-b226207861fa">
      <UserInfo>
        <DisplayName>Lawrence Taylor</DisplayName>
        <AccountId>678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E48F674D6A6E4B968E3E1FAE1B9692" ma:contentTypeVersion="18" ma:contentTypeDescription="Create a new document." ma:contentTypeScope="" ma:versionID="ca70d90cb3e1a05e625558ecbc8c7918">
  <xsd:schema xmlns:xsd="http://www.w3.org/2001/XMLSchema" xmlns:xs="http://www.w3.org/2001/XMLSchema" xmlns:p="http://schemas.microsoft.com/office/2006/metadata/properties" xmlns:ns2="f2870893-db66-4aa3-85e9-3efb17b0b061" xmlns:ns3="1b30647e-2852-4824-8010-b226207861fa" targetNamespace="http://schemas.microsoft.com/office/2006/metadata/properties" ma:root="true" ma:fieldsID="b598d93aa413354d1cd50c492a733296" ns2:_="" ns3:_="">
    <xsd:import namespace="f2870893-db66-4aa3-85e9-3efb17b0b061"/>
    <xsd:import namespace="1b30647e-2852-4824-8010-b226207861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70893-db66-4aa3-85e9-3efb17b0b0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8b8dfaa-981b-4fef-ae8f-77207eb7b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30647e-2852-4824-8010-b226207861f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cdface4-0c15-4f14-bd0b-80d2248220b1}" ma:internalName="TaxCatchAll" ma:showField="CatchAllData" ma:web="1b30647e-2852-4824-8010-b226207861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125236-DAD6-4A46-9C35-A44050F52141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1b30647e-2852-4824-8010-b226207861fa"/>
    <ds:schemaRef ds:uri="f2870893-db66-4aa3-85e9-3efb17b0b061"/>
  </ds:schemaRefs>
</ds:datastoreItem>
</file>

<file path=customXml/itemProps2.xml><?xml version="1.0" encoding="utf-8"?>
<ds:datastoreItem xmlns:ds="http://schemas.openxmlformats.org/officeDocument/2006/customXml" ds:itemID="{3C42BB1A-93CC-4756-B0EB-3B6FEEB971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E3B955-B890-47E8-8D4A-F906CCA102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870893-db66-4aa3-85e9-3efb17b0b061"/>
    <ds:schemaRef ds:uri="1b30647e-2852-4824-8010-b226207861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C&amp;I Tranche 2 (2024)</vt:lpstr>
      <vt:lpstr>Residential 1-4 Family (2024)</vt:lpstr>
      <vt:lpstr>Picklists</vt:lpstr>
      <vt:lpstr>Annual_Average_Demand_kW</vt:lpstr>
      <vt:lpstr>Customer_Class</vt:lpstr>
      <vt:lpstr>kWh_kW_Ratio</vt:lpstr>
      <vt:lpstr>Large_Tier</vt:lpstr>
      <vt:lpstr>Medium_Tier</vt:lpstr>
      <vt:lpstr>Nameplate_Energy_Capacity_kW</vt:lpstr>
      <vt:lpstr>Nameplate_Power_kW</vt:lpstr>
      <vt:lpstr>Small_Tier</vt:lpstr>
      <vt:lpstr>Total_System_Cost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Edward P. Kranich</dc:creator>
  <cp:keywords/>
  <dc:description/>
  <cp:lastModifiedBy>Edward P. Kranich</cp:lastModifiedBy>
  <cp:revision/>
  <dcterms:created xsi:type="dcterms:W3CDTF">2023-03-22T14:36:35Z</dcterms:created>
  <dcterms:modified xsi:type="dcterms:W3CDTF">2024-08-12T18:36:27Z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0x01010048E48F674D6A6E4B968E3E1FAE1B9692</vt:lpwstr>
  </property>
</Properties>
</file>