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ctgreenbank-my.sharepoint.com/personal/ekranich_ctgreenbank_com/Documents/Desktop/"/>
    </mc:Choice>
  </mc:AlternateContent>
  <xr:revisionPtr revIDLastSave="0" documentId="8_{BCE6F96B-94EB-4214-BF9C-62438320C31C}" xr6:coauthVersionLast="47" xr6:coauthVersionMax="47" xr10:uidLastSave="{00000000-0000-0000-0000-000000000000}"/>
  <bookViews>
    <workbookView xWindow="-120" yWindow="-16320" windowWidth="29040" windowHeight="15720" activeTab="1" xr2:uid="{B621F628-A0EE-4389-BE09-110FB7A6C655}"/>
  </bookViews>
  <sheets>
    <sheet name="C&amp;I Tranche 3 (2025)" sheetId="8" r:id="rId1"/>
    <sheet name="Residential 1-4 Family (2025)" sheetId="1" r:id="rId2"/>
    <sheet name="Lookup" sheetId="9" state="hidden" r:id="rId3"/>
    <sheet name="Picklists" sheetId="4" state="hidden" r:id="rId4"/>
  </sheets>
  <definedNames>
    <definedName name="Annual_Average_Demand_kW">'C&amp;I Tranche 3 (2025)'!$C$15</definedName>
    <definedName name="Customer_Class">'C&amp;I Tranche 3 (2025)'!$D$56</definedName>
    <definedName name="EventDuration">'C&amp;I Tranche 3 (2025)'!$C$24</definedName>
    <definedName name="InvDemandRatio">'C&amp;I Tranche 3 (2025)'!$D$61</definedName>
    <definedName name="kWh_kW_Ratio">'C&amp;I Tranche 3 (2025)'!$D$62</definedName>
    <definedName name="Large_Tier">'C&amp;I Tranche 3 (2025)'!$D$65</definedName>
    <definedName name="LargeTierRate">'C&amp;I Tranche 3 (2025)'!$D$60</definedName>
    <definedName name="Medium_Tier">'C&amp;I Tranche 3 (2025)'!$D$64</definedName>
    <definedName name="MedTierRate">'C&amp;I Tranche 3 (2025)'!$D$59</definedName>
    <definedName name="Nameplate_Capacity_kWh">'C&amp;I Tranche 3 (2025)'!$C$11</definedName>
    <definedName name="Nameplate_Energy_Capacity_kW">'C&amp;I Tranche 3 (2025)'!$C$11</definedName>
    <definedName name="Nameplate_Energy_Capacity_kWH">'C&amp;I Tranche 3 (2025)'!$C$11</definedName>
    <definedName name="Nameplate_Energy_kWh">'C&amp;I Tranche 3 (2025)'!$C$11</definedName>
    <definedName name="Nameplate_kWh_CI">'C&amp;I Tranche 3 (2025)'!$C$11</definedName>
    <definedName name="Nameplate_Power_kW">'C&amp;I Tranche 3 (2025)'!$C$10</definedName>
    <definedName name="NameplatekW">'Residential 1-4 Family (2025)'!$C$15</definedName>
    <definedName name="NameplatekWh">'Residential 1-4 Family (2025)'!$C$16</definedName>
    <definedName name="Small_Tier">'C&amp;I Tranche 3 (2025)'!$D$63</definedName>
    <definedName name="SmallTierRate">'C&amp;I Tranche 3 (2025)'!$D$58</definedName>
    <definedName name="StepSelector">'C&amp;I Tranche 3 (2025)'!$C$13</definedName>
    <definedName name="T3Steps">Picklists!$V$1:$Y$5</definedName>
    <definedName name="Total_System_Cost">'C&amp;I Tranche 3 (2025)'!$C$12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1" l="1"/>
  <c r="D61" i="1"/>
  <c r="D60" i="1"/>
  <c r="D71" i="8"/>
  <c r="D70" i="8"/>
  <c r="D67" i="8"/>
  <c r="D68" i="8"/>
  <c r="E16" i="8"/>
  <c r="E15" i="8"/>
  <c r="D57" i="1"/>
  <c r="C18" i="8"/>
  <c r="C26" i="8"/>
  <c r="C6" i="8"/>
  <c r="D60" i="8"/>
  <c r="D59" i="8"/>
  <c r="D58" i="8"/>
  <c r="D57" i="8"/>
  <c r="D58" i="1"/>
  <c r="F37" i="8"/>
  <c r="F34" i="8"/>
  <c r="F35" i="8"/>
  <c r="F36" i="8"/>
  <c r="F38" i="8"/>
  <c r="F39" i="8"/>
  <c r="F40" i="8"/>
  <c r="F41" i="8"/>
  <c r="F42" i="8"/>
  <c r="F43" i="8"/>
  <c r="D62" i="8"/>
  <c r="D61" i="8"/>
  <c r="D56" i="8"/>
  <c r="C23" i="1" l="1"/>
  <c r="C19" i="8"/>
  <c r="E19" i="8" s="1"/>
  <c r="E18" i="8"/>
  <c r="D64" i="8"/>
  <c r="D63" i="8"/>
  <c r="D65" i="8" l="1"/>
  <c r="C11" i="1"/>
  <c r="C30" i="1"/>
  <c r="D59" i="1"/>
  <c r="G32" i="1" s="1"/>
  <c r="E31" i="1" s="1"/>
  <c r="D34" i="8"/>
  <c r="E34" i="8" s="1"/>
  <c r="D39" i="1"/>
  <c r="E39" i="1" s="1"/>
  <c r="F39" i="1" s="1"/>
  <c r="D69" i="8" l="1"/>
  <c r="E27" i="8" s="1"/>
  <c r="D66" i="8"/>
  <c r="D40" i="1"/>
  <c r="E40" i="1" s="1"/>
  <c r="F40" i="1" s="1"/>
  <c r="D35" i="8"/>
  <c r="E35" i="8" s="1"/>
  <c r="D41" i="1" l="1"/>
  <c r="E41" i="1" s="1"/>
  <c r="F41" i="1" s="1"/>
  <c r="G33" i="1"/>
  <c r="G40" i="1"/>
  <c r="D36" i="8"/>
  <c r="E36" i="8" s="1"/>
  <c r="H35" i="8"/>
  <c r="G35" i="8"/>
  <c r="H34" i="8"/>
  <c r="G34" i="8"/>
  <c r="I45" i="8" s="1"/>
  <c r="H39" i="1"/>
  <c r="G39" i="1"/>
  <c r="D42" i="1"/>
  <c r="E42" i="1" s="1"/>
  <c r="F42" i="1" s="1"/>
  <c r="H41" i="1" l="1"/>
  <c r="H40" i="1"/>
  <c r="D37" i="8"/>
  <c r="E37" i="8" s="1"/>
  <c r="I50" i="1"/>
  <c r="G35" i="1" s="1"/>
  <c r="G28" i="8"/>
  <c r="I39" i="1"/>
  <c r="G41" i="1"/>
  <c r="D43" i="1"/>
  <c r="E43" i="1" s="1"/>
  <c r="F43" i="1" s="1"/>
  <c r="H36" i="8" l="1"/>
  <c r="G36" i="8"/>
  <c r="D38" i="8"/>
  <c r="E38" i="8" s="1"/>
  <c r="G42" i="1"/>
  <c r="H42" i="1"/>
  <c r="D44" i="1"/>
  <c r="E44" i="1" s="1"/>
  <c r="F44" i="1" s="1"/>
  <c r="I40" i="1"/>
  <c r="H37" i="8" l="1"/>
  <c r="G37" i="8"/>
  <c r="D39" i="8"/>
  <c r="E39" i="8" s="1"/>
  <c r="G44" i="1"/>
  <c r="I42" i="1"/>
  <c r="D45" i="1"/>
  <c r="E45" i="1" s="1"/>
  <c r="F45" i="1" s="1"/>
  <c r="H43" i="1"/>
  <c r="G43" i="1"/>
  <c r="I41" i="1"/>
  <c r="G38" i="8" l="1"/>
  <c r="H38" i="8"/>
  <c r="D40" i="8"/>
  <c r="E40" i="8" s="1"/>
  <c r="G45" i="1"/>
  <c r="I43" i="1"/>
  <c r="H44" i="1"/>
  <c r="D46" i="1"/>
  <c r="E46" i="1" s="1"/>
  <c r="F46" i="1" s="1"/>
  <c r="D41" i="8" l="1"/>
  <c r="E41" i="8" s="1"/>
  <c r="G39" i="8"/>
  <c r="H39" i="8"/>
  <c r="G46" i="1"/>
  <c r="I44" i="1"/>
  <c r="D47" i="1"/>
  <c r="E47" i="1" s="1"/>
  <c r="F47" i="1" s="1"/>
  <c r="H45" i="1"/>
  <c r="G40" i="8" l="1"/>
  <c r="H40" i="8"/>
  <c r="D42" i="8"/>
  <c r="E42" i="8" s="1"/>
  <c r="G47" i="1"/>
  <c r="I45" i="1"/>
  <c r="H46" i="1"/>
  <c r="D48" i="1"/>
  <c r="E48" i="1" l="1"/>
  <c r="F48" i="1" s="1"/>
  <c r="G41" i="8"/>
  <c r="H41" i="8"/>
  <c r="D43" i="8"/>
  <c r="E43" i="8" s="1"/>
  <c r="I46" i="1"/>
  <c r="H47" i="1"/>
  <c r="H48" i="1" l="1"/>
  <c r="G48" i="1"/>
  <c r="G42" i="8"/>
  <c r="H42" i="8"/>
  <c r="H43" i="8"/>
  <c r="I47" i="1"/>
  <c r="I48" i="1" l="1"/>
  <c r="I49" i="1" s="1"/>
  <c r="G43" i="8"/>
  <c r="F34" i="1" l="1"/>
  <c r="I34" i="8"/>
  <c r="I36" i="8"/>
  <c r="I42" i="8"/>
  <c r="I37" i="8"/>
  <c r="I41" i="8"/>
  <c r="I38" i="8"/>
  <c r="I35" i="8"/>
  <c r="I40" i="8"/>
  <c r="I43" i="8"/>
  <c r="I39" i="8"/>
  <c r="I44" i="8" l="1"/>
  <c r="F29" i="8" l="1"/>
  <c r="G30"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tc={06E7EB50-F678-4A04-8D11-2F0522CEF74E}</author>
  </authors>
  <commentList>
    <comment ref="H39" authorId="0" shapeId="0" xr:uid="{06E7EB50-F678-4A04-8D11-2F0522CEF74E}">
      <text>
        <t>[Threaded comment]
Your version of Excel allows you to read this threaded comment; however, any edits to it will get removed if the file is opened in a newer version of Excel. Learn more: https://go.microsoft.com/fwlink/?linkid=870924
Comment:
    Old version of formula, too many arguments?</t>
      </text>
    </comment>
  </commentList>
</comments>
</file>

<file path=xl/sharedStrings.xml><?xml version="1.0" encoding="utf-8"?>
<sst xmlns="http://schemas.openxmlformats.org/spreadsheetml/2006/main" count="259" uniqueCount="176">
  <si>
    <r>
      <rPr>
        <b/>
        <i/>
        <sz val="10"/>
        <rFont val="Arial Nova"/>
        <family val="2"/>
      </rPr>
      <t>INSTRUCTIONS:</t>
    </r>
    <r>
      <rPr>
        <i/>
        <sz val="10"/>
        <rFont val="Arial Nova"/>
        <family val="2"/>
      </rPr>
      <t xml:space="preserve"> Complete the orange shaded fields 1-6. Optionally, edit the values in fields 7-10.</t>
    </r>
  </si>
  <si>
    <r>
      <rPr>
        <b/>
        <sz val="10"/>
        <rFont val="Arial Nova"/>
        <family val="2"/>
      </rPr>
      <t>Note</t>
    </r>
    <r>
      <rPr>
        <sz val="10"/>
        <rFont val="Arial Nova"/>
        <family val="2"/>
      </rPr>
      <t xml:space="preserve">: This calculator is intended to be used as an </t>
    </r>
    <r>
      <rPr>
        <u/>
        <sz val="10"/>
        <rFont val="Arial Nova"/>
        <family val="2"/>
      </rPr>
      <t>estimation tool only</t>
    </r>
    <r>
      <rPr>
        <sz val="10"/>
        <rFont val="Arial Nova"/>
        <family val="2"/>
      </rPr>
      <t xml:space="preserve">. Final Upfront Incentive approval is subject to review in a complete Application by Program Administrators.
Systems that do not comply with the requirements of Passive Dispatch may be subject to an Upfront Incentive Clawback. Please refer to the current Program Manual, available at www.energystorageCT.com/contractor-resources. 
</t>
    </r>
    <r>
      <rPr>
        <b/>
        <sz val="10"/>
        <rFont val="Arial Nova"/>
        <family val="2"/>
      </rPr>
      <t>Performance Incentives</t>
    </r>
    <r>
      <rPr>
        <sz val="10"/>
        <rFont val="Arial Nova"/>
        <family val="2"/>
      </rPr>
      <t xml:space="preserve"> paid for Active Dispatch can vary significantly based on battery degradation, discharge limitations set by the manufacturer or operator, customer participation and opt-out, weather events, and system design.</t>
    </r>
  </si>
  <si>
    <t>Battery System Inputs</t>
  </si>
  <si>
    <t>Notes</t>
  </si>
  <si>
    <t>kW (Total BESS Nameplate Continuous Power)</t>
  </si>
  <si>
    <t>kWh (Total BESS Nameplate Energy Capacity)</t>
  </si>
  <si>
    <t>Total BESS Cost</t>
  </si>
  <si>
    <t>Tranche 3 Step 1</t>
  </si>
  <si>
    <t>Incentive Step</t>
  </si>
  <si>
    <t>Customer Class Inputs</t>
  </si>
  <si>
    <t>Annual Peak Demand (kW)</t>
  </si>
  <si>
    <t>Small Business</t>
  </si>
  <si>
    <t>Priority Customer Adder</t>
  </si>
  <si>
    <t>Compliance Checks</t>
  </si>
  <si>
    <t>1.5x / 2 MW Incentive Cap Check</t>
  </si>
  <si>
    <t>Passive Compliance Check</t>
  </si>
  <si>
    <t>Active Dispatch Inputs</t>
  </si>
  <si>
    <t>Annual Energy Capacity Degradation Rate</t>
  </si>
  <si>
    <t>Default value 2.5%, varies by manufacturer.</t>
  </si>
  <si>
    <t>Maximum Depth of Discharge</t>
  </si>
  <si>
    <t>Default value 80%, varies by manufacturer. Ex: if a 20% reserve is required, select 80%.</t>
  </si>
  <si>
    <t>Participation</t>
  </si>
  <si>
    <t>Default value 75%, varies based on weather, recharge rate, and customer opt-out per-event.</t>
  </si>
  <si>
    <t>Average Active Event Duration (hours)</t>
  </si>
  <si>
    <t>Default value 2.5 hours based on Summer 2024 average.</t>
  </si>
  <si>
    <t>Your Estimated Upfront Incentive (Tiered)</t>
  </si>
  <si>
    <t>Upfront Incentive Calculation Method</t>
  </si>
  <si>
    <t>Your Estimated 10-Year Performance Incentive Total (Nominal)</t>
  </si>
  <si>
    <t>PBI Estimation Method</t>
  </si>
  <si>
    <t>10 Year Active Dispatch Performance Incentive Estimate</t>
  </si>
  <si>
    <t>Year</t>
  </si>
  <si>
    <t>Max Battery Capacity (kWh)</t>
  </si>
  <si>
    <t>Average kW</t>
  </si>
  <si>
    <t>Inverter Output</t>
  </si>
  <si>
    <t>Summer</t>
  </si>
  <si>
    <t>Winter</t>
  </si>
  <si>
    <t>Total</t>
  </si>
  <si>
    <t>Year 1</t>
  </si>
  <si>
    <t>Year 2</t>
  </si>
  <si>
    <t>Year 3</t>
  </si>
  <si>
    <t>Year 4</t>
  </si>
  <si>
    <t>Year 5</t>
  </si>
  <si>
    <t>Year 6</t>
  </si>
  <si>
    <t>Year 7</t>
  </si>
  <si>
    <t>Year 8</t>
  </si>
  <si>
    <t>Year 9</t>
  </si>
  <si>
    <t>Year 10</t>
  </si>
  <si>
    <t>Upfront Incentive Working Calculations</t>
  </si>
  <si>
    <t>Customer Class</t>
  </si>
  <si>
    <t>Step</t>
  </si>
  <si>
    <t>Small Tier Rate</t>
  </si>
  <si>
    <t>Medium Tier Rate</t>
  </si>
  <si>
    <t>Large Tier Rate</t>
  </si>
  <si>
    <t>Inverter to Demand Ratio</t>
  </si>
  <si>
    <t>kWh/kW Ratio</t>
  </si>
  <si>
    <t>Small Tier kWh</t>
  </si>
  <si>
    <t>Medium Tier kWh</t>
  </si>
  <si>
    <t>Large Tier kWh</t>
  </si>
  <si>
    <t>kWh Check</t>
  </si>
  <si>
    <t>Multiplier</t>
  </si>
  <si>
    <t>50% of Cost</t>
  </si>
  <si>
    <t>Upfront Incentive</t>
  </si>
  <si>
    <t>Residential Incentive Estimate Calculator</t>
  </si>
  <si>
    <t>INSTRUCTIONS: Complete the orange shaded fields 1-6. Optionally, edit the values in fields 7-10.</t>
  </si>
  <si>
    <r>
      <rPr>
        <b/>
        <sz val="10"/>
        <rFont val="Arial Nova"/>
        <family val="2"/>
      </rPr>
      <t>Note</t>
    </r>
    <r>
      <rPr>
        <sz val="10"/>
        <rFont val="Arial Nova"/>
        <family val="2"/>
      </rPr>
      <t xml:space="preserve">: This calculator is intended to be used as an </t>
    </r>
    <r>
      <rPr>
        <u/>
        <sz val="10"/>
        <rFont val="Arial Nova"/>
        <family val="2"/>
      </rPr>
      <t>estimation tool only</t>
    </r>
    <r>
      <rPr>
        <sz val="10"/>
        <rFont val="Arial Nova"/>
        <family val="2"/>
      </rPr>
      <t xml:space="preserve">. Final Upfront Incentive approval is subject to review in a complete application by Program Administrators.
Systems that do not comply with the requirements of Passive Dispatch may be subject to an Upfront Incentive Clawback. Please refer to the current Program Manual, available at www.energystorageCT.com/contractor-resources. 
</t>
    </r>
    <r>
      <rPr>
        <b/>
        <sz val="10"/>
        <rFont val="Arial Nova"/>
        <family val="2"/>
      </rPr>
      <t>Performance Incentives</t>
    </r>
    <r>
      <rPr>
        <sz val="10"/>
        <rFont val="Arial Nova"/>
        <family val="2"/>
      </rPr>
      <t xml:space="preserve"> paid for Active Dispatch can vary significantly based on battery degradation, discharge limitations set by the manufacturer or operator, customer participation and opt-out, weather events, and system design.</t>
    </r>
  </si>
  <si>
    <t>Total BESS Cost (Not including solar PV)</t>
  </si>
  <si>
    <t>N/A</t>
  </si>
  <si>
    <t>Underserved Community?</t>
  </si>
  <si>
    <t>No</t>
  </si>
  <si>
    <t>Low Income?</t>
  </si>
  <si>
    <t>Low Income adder is not stackable with Underserved Community adder.</t>
  </si>
  <si>
    <t>Grid-Edge?</t>
  </si>
  <si>
    <t>Grid-Edge adder can apply to any type of customer.</t>
  </si>
  <si>
    <t>Compliance Check</t>
  </si>
  <si>
    <t>Annual Degradation of Battery Capacity</t>
  </si>
  <si>
    <t>Default value 2.5%, varies by manufacturer and chemistry type.</t>
  </si>
  <si>
    <t>Average Active Event Participation Rate</t>
  </si>
  <si>
    <t>Default value 2.5 hours based on historical average.</t>
  </si>
  <si>
    <t>Your Estimated Upfront Incentive</t>
  </si>
  <si>
    <t>Upfront Incentive Rate ($ per kWh)</t>
  </si>
  <si>
    <t>Your Estimated 10-Year Performance Incentive Total</t>
  </si>
  <si>
    <t>Max Available Capacity (kWh)</t>
  </si>
  <si>
    <t>Underserved</t>
  </si>
  <si>
    <t>Low-Income</t>
  </si>
  <si>
    <t>Grid Edge</t>
  </si>
  <si>
    <t>Y/N</t>
  </si>
  <si>
    <t>PARTICIPATION</t>
  </si>
  <si>
    <t>DEGRADATION</t>
  </si>
  <si>
    <t>TRANCHE 3 STEP</t>
  </si>
  <si>
    <t>RATE</t>
  </si>
  <si>
    <t>CI PRIORITY</t>
  </si>
  <si>
    <t>PRIORITY</t>
  </si>
  <si>
    <t>2023 DISTRESSED MUNICIPALITY</t>
  </si>
  <si>
    <t>CI PRIORITY2</t>
  </si>
  <si>
    <t>EVENT DURATION</t>
  </si>
  <si>
    <t>Small</t>
  </si>
  <si>
    <t>Medium</t>
  </si>
  <si>
    <t>Large</t>
  </si>
  <si>
    <t>Yes</t>
  </si>
  <si>
    <t>Tranche 2</t>
  </si>
  <si>
    <t>Tiered Rate</t>
  </si>
  <si>
    <t>None</t>
  </si>
  <si>
    <t>Standard</t>
  </si>
  <si>
    <t>Single Rate</t>
  </si>
  <si>
    <t>Grid-Edge</t>
  </si>
  <si>
    <t>Ansonia</t>
  </si>
  <si>
    <t>Tranche 3 Step 2</t>
  </si>
  <si>
    <t>Critical Facility</t>
  </si>
  <si>
    <t>Bridgeport</t>
  </si>
  <si>
    <t>2023 Distressed Municipalities - Alphabetical</t>
  </si>
  <si>
    <t>Formerly Distressed Muncipalities with Eligibility Remaining</t>
  </si>
  <si>
    <t>Tranche 3 Step 3</t>
  </si>
  <si>
    <t>Replacing Generator</t>
  </si>
  <si>
    <t>MFAH</t>
  </si>
  <si>
    <t>Bristol (Expires 10/4/2028)</t>
  </si>
  <si>
    <t>Municipality</t>
  </si>
  <si>
    <t>Score</t>
  </si>
  <si>
    <t>Rank</t>
  </si>
  <si>
    <t>Eligibility End Date</t>
  </si>
  <si>
    <t>Chaplin</t>
  </si>
  <si>
    <t>Enfield</t>
  </si>
  <si>
    <t>8/6/2024</t>
  </si>
  <si>
    <t>Derby</t>
  </si>
  <si>
    <t>Killingly</t>
  </si>
  <si>
    <t>9/16/2025</t>
  </si>
  <si>
    <t>East Hartford</t>
  </si>
  <si>
    <t>Naugatuck</t>
  </si>
  <si>
    <t>East Haven</t>
  </si>
  <si>
    <t>New Haven</t>
  </si>
  <si>
    <t>9/10/2026</t>
  </si>
  <si>
    <t>Griswold</t>
  </si>
  <si>
    <t>Preston</t>
  </si>
  <si>
    <t>Groton (Expires 10/4/2028)</t>
  </si>
  <si>
    <t>Stratford</t>
  </si>
  <si>
    <t>10/3/2027</t>
  </si>
  <si>
    <t>Hartford</t>
  </si>
  <si>
    <t>Bristol</t>
  </si>
  <si>
    <t>10/4/2028</t>
  </si>
  <si>
    <t>Killingly (Expires 9/16/2025)</t>
  </si>
  <si>
    <t>Groton</t>
  </si>
  <si>
    <t>Lisbon</t>
  </si>
  <si>
    <t>North Stonington</t>
  </si>
  <si>
    <t>Mansfield</t>
  </si>
  <si>
    <t>Plainfield</t>
  </si>
  <si>
    <t>Meriden</t>
  </si>
  <si>
    <t>Montville</t>
  </si>
  <si>
    <t>Naugatuck (Expires 9/16/2025)</t>
  </si>
  <si>
    <t>New Britain</t>
  </si>
  <si>
    <t>New London</t>
  </si>
  <si>
    <t>New Haven (Expires 9/10/2026)</t>
  </si>
  <si>
    <t>Norwich</t>
  </si>
  <si>
    <t>Plymouth</t>
  </si>
  <si>
    <t>North Stonington (Expires 10/4/2028)</t>
  </si>
  <si>
    <t>Putnam</t>
  </si>
  <si>
    <t>Sprague</t>
  </si>
  <si>
    <t>Plainfield (Expires 10/4/2028)</t>
  </si>
  <si>
    <t>Sterling</t>
  </si>
  <si>
    <t>Torrington</t>
  </si>
  <si>
    <t>Preston (Expires 9/10/2026)</t>
  </si>
  <si>
    <t>Voluntown</t>
  </si>
  <si>
    <t>Waterbury</t>
  </si>
  <si>
    <t>West Haven</t>
  </si>
  <si>
    <t>Winchester</t>
  </si>
  <si>
    <t>Stratford (Expires 10/3/2027)</t>
  </si>
  <si>
    <t>Windham</t>
  </si>
  <si>
    <t>IF(((Nameplate_Power_kW/Annual_Average_Demand_kW&gt;1.5)*AND(Nameplate_Power_kW&gt;2000))*OR(Nameplate_Power_kW&gt;2000),"Inverter Oversized","OK")</t>
  </si>
  <si>
    <t>Version 6.1 - 5/13/25</t>
  </si>
  <si>
    <t/>
  </si>
  <si>
    <t>OK</t>
  </si>
  <si>
    <t>Warning!</t>
  </si>
  <si>
    <t>Not Compliant</t>
  </si>
  <si>
    <t>72% Min. Inverter Size</t>
  </si>
  <si>
    <t>80% Min. Inverter Size</t>
  </si>
  <si>
    <t>System design meets minimum threshold for Passive Dispatch.</t>
  </si>
  <si>
    <t>System design is not capable of meeting minimum threshold to participate in Passive Dispatch and does not qualify for enrollment.</t>
  </si>
  <si>
    <t>System design meets minimum threshold for Passive Dispatch, but must participate in 100% of Passive and Active events to avoid triggering claw back.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</si>
</sst>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_(* #,##0.0_);_(* \(#,##0.0\);_(* &quot;-&quot;??_);_(@_)"/>
    <numFmt numFmtId="166" formatCode="_(* #,##0_);_(* \(#,##0\);_(* &quot;-&quot;??_);_(@_)"/>
    <numFmt numFmtId="167" formatCode="0.0%"/>
    <numFmt numFmtId="168" formatCode="0.0"/>
  </numFmts>
  <fonts count="38" x14ac:knownFonts="1">
    <font>
      <sz val="10"/>
      <color theme="1"/>
      <name val="Arial"/>
      <family val="2"/>
    </font>
    <font>
      <sz val="10"/>
      <color theme="1"/>
      <name val="Arial Nova"/>
      <family val="2"/>
    </font>
    <font>
      <sz val="10"/>
      <color theme="1"/>
      <name val="Arial"/>
      <family val="2"/>
    </font>
    <font>
      <sz val="10"/>
      <color rgb="FF3F3F76"/>
      <name val="Arial"/>
      <family val="2"/>
    </font>
    <font>
      <b/>
      <sz val="10"/>
      <color theme="1"/>
      <name val="Arial"/>
      <family val="2"/>
    </font>
    <font>
      <sz val="8"/>
      <name val="Arial"/>
      <family val="2"/>
    </font>
    <font>
      <b/>
      <sz val="10"/>
      <color rgb="FFFFFFFF"/>
      <name val="Arial"/>
      <family val="2"/>
    </font>
    <font>
      <sz val="11"/>
      <color theme="1"/>
      <name val="Calibri"/>
      <family val="2"/>
      <scheme val="minor"/>
    </font>
    <font>
      <b/>
      <sz val="10"/>
      <color rgb="FF3F3F3F"/>
      <name val="Arial"/>
      <family val="2"/>
    </font>
    <font>
      <sz val="10"/>
      <color rgb="FF9C5700"/>
      <name val="Arial"/>
      <family val="2"/>
    </font>
    <font>
      <i/>
      <sz val="10"/>
      <color rgb="FF7F7F7F"/>
      <name val="Arial"/>
      <family val="2"/>
    </font>
    <font>
      <b/>
      <sz val="10"/>
      <color rgb="FFFA7D00"/>
      <name val="Arial"/>
      <family val="2"/>
    </font>
    <font>
      <b/>
      <sz val="12"/>
      <color theme="1"/>
      <name val="Calibri"/>
      <family val="2"/>
      <scheme val="minor"/>
    </font>
    <font>
      <b/>
      <sz val="11"/>
      <color theme="1"/>
      <name val="Calibri"/>
      <family val="2"/>
      <scheme val="minor"/>
    </font>
    <font>
      <sz val="12"/>
      <name val="Arial"/>
      <family val="2"/>
    </font>
    <font>
      <sz val="12"/>
      <color theme="1"/>
      <name val="Arial"/>
      <family val="2"/>
    </font>
    <font>
      <u/>
      <sz val="10"/>
      <color theme="10"/>
      <name val="Arial"/>
      <family val="2"/>
    </font>
    <font>
      <b/>
      <sz val="10"/>
      <color theme="1"/>
      <name val="Arial Nova"/>
      <family val="2"/>
    </font>
    <font>
      <sz val="10"/>
      <name val="Arial Nova"/>
      <family val="2"/>
    </font>
    <font>
      <b/>
      <sz val="11"/>
      <name val="Arial Nova"/>
      <family val="2"/>
    </font>
    <font>
      <b/>
      <sz val="10"/>
      <name val="Arial Nova"/>
      <family val="2"/>
    </font>
    <font>
      <i/>
      <sz val="8"/>
      <name val="Arial Nova"/>
      <family val="2"/>
    </font>
    <font>
      <b/>
      <sz val="12"/>
      <name val="Arial Nova"/>
      <family val="2"/>
    </font>
    <font>
      <b/>
      <sz val="14"/>
      <name val="Arial Nova"/>
      <family val="2"/>
    </font>
    <font>
      <i/>
      <sz val="10"/>
      <name val="Arial Nova"/>
      <family val="2"/>
    </font>
    <font>
      <i/>
      <sz val="9"/>
      <name val="Arial Nova"/>
      <family val="2"/>
    </font>
    <font>
      <b/>
      <i/>
      <sz val="10"/>
      <name val="Arial Nova"/>
      <family val="2"/>
    </font>
    <font>
      <b/>
      <i/>
      <sz val="8"/>
      <name val="Arial Nova"/>
      <family val="2"/>
    </font>
    <font>
      <b/>
      <sz val="16"/>
      <name val="Arial Nova"/>
      <family val="2"/>
    </font>
    <font>
      <b/>
      <u/>
      <sz val="10"/>
      <color theme="10"/>
      <name val="Arial Nova"/>
      <family val="2"/>
    </font>
    <font>
      <b/>
      <i/>
      <sz val="10"/>
      <color theme="0" tint="-0.34998626667073579"/>
      <name val="Arial Nova"/>
      <family val="2"/>
    </font>
    <font>
      <i/>
      <sz val="10"/>
      <color theme="0" tint="-0.34998626667073579"/>
      <name val="Arial Nova"/>
      <family val="2"/>
    </font>
    <font>
      <sz val="10"/>
      <color theme="0" tint="-0.34998626667073579"/>
      <name val="Arial Nova"/>
      <family val="2"/>
    </font>
    <font>
      <b/>
      <sz val="10"/>
      <color theme="0" tint="-0.34998626667073579"/>
      <name val="Arial Nova"/>
      <family val="2"/>
    </font>
    <font>
      <i/>
      <sz val="10"/>
      <color theme="0" tint="-0.499984740745262"/>
      <name val="Arial Nova"/>
      <family val="2"/>
    </font>
    <font>
      <b/>
      <sz val="12"/>
      <color theme="0"/>
      <name val="Arial Nova"/>
      <family val="2"/>
    </font>
    <font>
      <u/>
      <sz val="10"/>
      <name val="Arial Nova"/>
      <family val="2"/>
    </font>
    <font>
      <sz val="8"/>
      <name val="Arial Nova"/>
      <family val="2"/>
    </font>
  </fonts>
  <fills count="13">
    <fill>
      <patternFill patternType="none"/>
    </fill>
    <fill>
      <patternFill patternType="gray125"/>
    </fill>
    <fill>
      <patternFill patternType="solid">
        <fgColor rgb="FFFFCC99"/>
      </patternFill>
    </fill>
    <fill>
      <patternFill patternType="solid">
        <fgColor theme="1"/>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2F2F2"/>
      </patternFill>
    </fill>
    <fill>
      <patternFill patternType="solid">
        <fgColor rgb="FFFFEB9C"/>
      </patternFill>
    </fill>
    <fill>
      <patternFill patternType="solid">
        <fgColor rgb="FFDDEBF7"/>
        <bgColor indexed="64"/>
      </patternFill>
    </fill>
    <fill>
      <patternFill patternType="solid">
        <fgColor rgb="FF30318C"/>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F05A22"/>
        <bgColor indexed="64"/>
      </patternFill>
    </fill>
  </fills>
  <borders count="14">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2">
    <xf numFmtId="0" fontId="0" fillId="0" borderId="0"/>
    <xf numFmtId="44" fontId="2" fillId="0" borderId="0" applyFont="0" applyFill="0" applyBorder="0" applyAlignment="0" applyProtection="0"/>
    <xf numFmtId="0" fontId="3" fillId="2" borderId="1" applyNumberFormat="0" applyAlignment="0" applyProtection="0"/>
    <xf numFmtId="0" fontId="7" fillId="0" borderId="0"/>
    <xf numFmtId="0" fontId="6" fillId="3" borderId="6" applyNumberFormat="0"/>
    <xf numFmtId="9" fontId="2" fillId="0" borderId="0" applyFont="0" applyFill="0" applyBorder="0" applyAlignment="0" applyProtection="0"/>
    <xf numFmtId="43" fontId="2" fillId="0" borderId="0" applyFont="0" applyFill="0" applyBorder="0" applyAlignment="0" applyProtection="0"/>
    <xf numFmtId="0" fontId="8" fillId="6" borderId="7" applyNumberFormat="0" applyAlignment="0" applyProtection="0"/>
    <xf numFmtId="0" fontId="9" fillId="7" borderId="0" applyNumberFormat="0" applyBorder="0" applyAlignment="0" applyProtection="0"/>
    <xf numFmtId="0" fontId="10" fillId="0" borderId="0" applyNumberFormat="0" applyFill="0" applyBorder="0" applyAlignment="0" applyProtection="0"/>
    <xf numFmtId="0" fontId="11" fillId="6" borderId="1" applyNumberFormat="0" applyAlignment="0" applyProtection="0"/>
    <xf numFmtId="0" fontId="16" fillId="0" borderId="0" applyNumberFormat="0" applyFill="0" applyBorder="0" applyAlignment="0" applyProtection="0"/>
  </cellStyleXfs>
  <cellXfs count="116">
    <xf numFmtId="0" fontId="0" fillId="0" borderId="0" xfId="0"/>
    <xf numFmtId="9" fontId="0" fillId="0" borderId="0" xfId="0" applyNumberFormat="1"/>
    <xf numFmtId="0" fontId="4" fillId="0" borderId="0" xfId="0" applyFont="1"/>
    <xf numFmtId="167" fontId="0" fillId="0" borderId="0" xfId="0" applyNumberFormat="1"/>
    <xf numFmtId="0" fontId="12" fillId="0" borderId="0" xfId="0" applyFont="1"/>
    <xf numFmtId="0" fontId="12" fillId="0" borderId="2" xfId="0" applyFont="1" applyBorder="1" applyAlignment="1">
      <alignment horizontal="center"/>
    </xf>
    <xf numFmtId="0" fontId="13" fillId="0" borderId="0" xfId="0" applyFont="1"/>
    <xf numFmtId="0" fontId="14" fillId="0" borderId="8" xfId="0" applyFont="1" applyBorder="1"/>
    <xf numFmtId="3" fontId="14" fillId="0" borderId="5" xfId="0" applyNumberFormat="1" applyFont="1" applyBorder="1"/>
    <xf numFmtId="0" fontId="14" fillId="0" borderId="9" xfId="0" applyFont="1" applyBorder="1"/>
    <xf numFmtId="0" fontId="14" fillId="0" borderId="2" xfId="0" applyFont="1" applyBorder="1" applyAlignment="1">
      <alignment horizontal="left"/>
    </xf>
    <xf numFmtId="14" fontId="15" fillId="0" borderId="2" xfId="0" applyNumberFormat="1" applyFont="1" applyBorder="1"/>
    <xf numFmtId="0" fontId="14" fillId="0" borderId="10" xfId="0" applyFont="1" applyBorder="1"/>
    <xf numFmtId="3" fontId="14" fillId="0" borderId="3" xfId="0" applyNumberFormat="1" applyFont="1" applyBorder="1"/>
    <xf numFmtId="0" fontId="14" fillId="0" borderId="13" xfId="0" applyFont="1" applyBorder="1"/>
    <xf numFmtId="0" fontId="14" fillId="0" borderId="11" xfId="0" applyFont="1" applyBorder="1"/>
    <xf numFmtId="3" fontId="14" fillId="0" borderId="4" xfId="0" applyNumberFormat="1" applyFont="1" applyBorder="1"/>
    <xf numFmtId="0" fontId="14" fillId="0" borderId="12" xfId="0" applyFont="1" applyBorder="1"/>
    <xf numFmtId="49" fontId="15" fillId="0" borderId="2" xfId="0" applyNumberFormat="1" applyFont="1" applyBorder="1"/>
    <xf numFmtId="44" fontId="0" fillId="0" borderId="0" xfId="1" applyFont="1"/>
    <xf numFmtId="0" fontId="18" fillId="0" borderId="0" xfId="0" applyFont="1"/>
    <xf numFmtId="0" fontId="18" fillId="0" borderId="0" xfId="0" applyFont="1" applyAlignment="1">
      <alignment vertical="center" wrapText="1"/>
    </xf>
    <xf numFmtId="0" fontId="18" fillId="0" borderId="0" xfId="0" applyFont="1" applyAlignment="1">
      <alignment horizontal="center" vertical="center" wrapText="1"/>
    </xf>
    <xf numFmtId="0" fontId="1" fillId="0" borderId="0" xfId="0" applyFont="1"/>
    <xf numFmtId="0" fontId="21" fillId="0" borderId="0" xfId="9" applyFont="1" applyBorder="1" applyAlignment="1" applyProtection="1">
      <alignment vertical="top" wrapText="1"/>
    </xf>
    <xf numFmtId="164" fontId="18" fillId="0" borderId="0" xfId="0" applyNumberFormat="1" applyFont="1"/>
    <xf numFmtId="0" fontId="20" fillId="0" borderId="0" xfId="0" applyFont="1"/>
    <xf numFmtId="165" fontId="18" fillId="12" borderId="0" xfId="6" applyNumberFormat="1" applyFont="1" applyFill="1" applyBorder="1" applyAlignment="1" applyProtection="1">
      <alignment horizontal="center"/>
      <protection locked="0"/>
    </xf>
    <xf numFmtId="164" fontId="18" fillId="12" borderId="0" xfId="2" applyNumberFormat="1" applyFont="1" applyFill="1" applyBorder="1" applyAlignment="1" applyProtection="1">
      <alignment horizontal="center"/>
      <protection locked="0"/>
    </xf>
    <xf numFmtId="43" fontId="18" fillId="12" borderId="0" xfId="6" applyFont="1" applyFill="1" applyBorder="1" applyAlignment="1" applyProtection="1">
      <alignment horizontal="center"/>
      <protection locked="0"/>
    </xf>
    <xf numFmtId="167" fontId="18" fillId="12" borderId="0" xfId="5" applyNumberFormat="1" applyFont="1" applyFill="1" applyBorder="1" applyAlignment="1" applyProtection="1">
      <alignment horizontal="center"/>
      <protection locked="0"/>
    </xf>
    <xf numFmtId="9" fontId="18" fillId="12" borderId="0" xfId="5" applyFont="1" applyFill="1" applyBorder="1" applyAlignment="1" applyProtection="1">
      <alignment horizontal="center"/>
      <protection locked="0"/>
    </xf>
    <xf numFmtId="168" fontId="18" fillId="12" borderId="0" xfId="5" applyNumberFormat="1" applyFont="1" applyFill="1" applyBorder="1" applyAlignment="1" applyProtection="1">
      <alignment horizontal="center"/>
      <protection locked="0"/>
    </xf>
    <xf numFmtId="0" fontId="20" fillId="6" borderId="0" xfId="7" applyFont="1" applyBorder="1" applyAlignment="1" applyProtection="1">
      <alignment horizontal="center"/>
    </xf>
    <xf numFmtId="0" fontId="21" fillId="10" borderId="0" xfId="9" applyFont="1" applyFill="1" applyBorder="1" applyAlignment="1" applyProtection="1">
      <alignment vertical="top"/>
    </xf>
    <xf numFmtId="164" fontId="18" fillId="0" borderId="0" xfId="1" applyNumberFormat="1" applyFont="1" applyFill="1" applyBorder="1" applyProtection="1"/>
    <xf numFmtId="164" fontId="18" fillId="10" borderId="0" xfId="1" applyNumberFormat="1" applyFont="1" applyFill="1" applyBorder="1" applyProtection="1"/>
    <xf numFmtId="166" fontId="21" fillId="0" borderId="0" xfId="9" applyNumberFormat="1" applyFont="1" applyFill="1" applyBorder="1" applyAlignment="1" applyProtection="1">
      <alignment horizontal="center"/>
    </xf>
    <xf numFmtId="0" fontId="18" fillId="12" borderId="0" xfId="2" applyFont="1" applyFill="1" applyBorder="1" applyAlignment="1" applyProtection="1">
      <alignment horizontal="right"/>
      <protection locked="0"/>
    </xf>
    <xf numFmtId="164" fontId="18" fillId="12" borderId="0" xfId="2" applyNumberFormat="1" applyFont="1" applyFill="1" applyBorder="1" applyAlignment="1" applyProtection="1">
      <alignment horizontal="right"/>
      <protection locked="0"/>
    </xf>
    <xf numFmtId="166" fontId="18" fillId="12" borderId="0" xfId="6" applyNumberFormat="1" applyFont="1" applyFill="1" applyBorder="1" applyAlignment="1" applyProtection="1">
      <alignment horizontal="center"/>
      <protection locked="0"/>
    </xf>
    <xf numFmtId="167" fontId="18" fillId="12" borderId="0" xfId="2" applyNumberFormat="1" applyFont="1" applyFill="1" applyBorder="1" applyAlignment="1" applyProtection="1">
      <alignment horizontal="center"/>
      <protection locked="0"/>
    </xf>
    <xf numFmtId="10" fontId="18" fillId="0" borderId="0" xfId="0" applyNumberFormat="1" applyFont="1"/>
    <xf numFmtId="9" fontId="18" fillId="12" borderId="0" xfId="2" applyNumberFormat="1" applyFont="1" applyFill="1" applyBorder="1" applyAlignment="1" applyProtection="1">
      <alignment horizontal="center"/>
      <protection locked="0"/>
    </xf>
    <xf numFmtId="168" fontId="18" fillId="12" borderId="0" xfId="2" applyNumberFormat="1" applyFont="1" applyFill="1" applyBorder="1" applyAlignment="1" applyProtection="1">
      <alignment horizontal="center"/>
      <protection locked="0"/>
    </xf>
    <xf numFmtId="8" fontId="18" fillId="0" borderId="0" xfId="0" applyNumberFormat="1" applyFont="1"/>
    <xf numFmtId="44" fontId="18" fillId="0" borderId="0" xfId="1" applyFont="1" applyBorder="1" applyProtection="1"/>
    <xf numFmtId="43" fontId="18" fillId="0" borderId="0" xfId="6" applyFont="1" applyBorder="1" applyProtection="1"/>
    <xf numFmtId="2" fontId="18" fillId="0" borderId="0" xfId="0" applyNumberFormat="1" applyFont="1"/>
    <xf numFmtId="168" fontId="31" fillId="0" borderId="0" xfId="9" applyNumberFormat="1" applyFont="1" applyFill="1" applyBorder="1" applyAlignment="1" applyProtection="1">
      <alignment horizontal="right"/>
    </xf>
    <xf numFmtId="44" fontId="31" fillId="0" borderId="0" xfId="1" applyFont="1" applyFill="1" applyBorder="1" applyAlignment="1" applyProtection="1">
      <alignment horizontal="right"/>
    </xf>
    <xf numFmtId="165" fontId="31" fillId="0" borderId="0" xfId="9" applyNumberFormat="1" applyFont="1" applyFill="1" applyBorder="1" applyAlignment="1" applyProtection="1">
      <alignment horizontal="right"/>
    </xf>
    <xf numFmtId="43" fontId="31" fillId="0" borderId="0" xfId="9" applyNumberFormat="1" applyFont="1" applyFill="1" applyBorder="1" applyAlignment="1" applyProtection="1">
      <alignment horizontal="right"/>
    </xf>
    <xf numFmtId="164" fontId="33" fillId="0" borderId="0" xfId="10" applyNumberFormat="1" applyFont="1" applyFill="1" applyBorder="1" applyAlignment="1" applyProtection="1">
      <alignment vertical="center"/>
    </xf>
    <xf numFmtId="43" fontId="18" fillId="10" borderId="0" xfId="6" applyFont="1" applyFill="1" applyBorder="1" applyProtection="1"/>
    <xf numFmtId="164" fontId="20" fillId="10" borderId="0" xfId="1" applyNumberFormat="1" applyFont="1" applyFill="1" applyBorder="1" applyAlignment="1" applyProtection="1"/>
    <xf numFmtId="164" fontId="25" fillId="10" borderId="0" xfId="1" applyNumberFormat="1" applyFont="1" applyFill="1" applyBorder="1" applyAlignment="1" applyProtection="1">
      <alignment horizontal="right" vertical="center" wrapText="1"/>
    </xf>
    <xf numFmtId="0" fontId="20" fillId="5" borderId="0" xfId="0" applyFont="1" applyFill="1"/>
    <xf numFmtId="0" fontId="17" fillId="0" borderId="0" xfId="0" applyFont="1"/>
    <xf numFmtId="0" fontId="21" fillId="11" borderId="0" xfId="9" applyFont="1" applyFill="1" applyBorder="1" applyAlignment="1" applyProtection="1">
      <alignment vertical="top" wrapText="1"/>
    </xf>
    <xf numFmtId="0" fontId="20" fillId="10" borderId="0" xfId="0" applyFont="1" applyFill="1" applyAlignment="1">
      <alignment horizontal="left"/>
    </xf>
    <xf numFmtId="0" fontId="18" fillId="10" borderId="0" xfId="0" applyFont="1" applyFill="1"/>
    <xf numFmtId="0" fontId="1" fillId="10" borderId="0" xfId="0" applyFont="1" applyFill="1"/>
    <xf numFmtId="0" fontId="0" fillId="10" borderId="0" xfId="0" applyFill="1"/>
    <xf numFmtId="0" fontId="29" fillId="10" borderId="0" xfId="11" applyFont="1" applyFill="1" applyBorder="1" applyAlignment="1" applyProtection="1">
      <alignment horizontal="left"/>
    </xf>
    <xf numFmtId="0" fontId="20" fillId="10" borderId="0" xfId="0" applyFont="1" applyFill="1" applyAlignment="1">
      <alignment horizontal="center"/>
    </xf>
    <xf numFmtId="0" fontId="18" fillId="11" borderId="0" xfId="0" applyFont="1" applyFill="1"/>
    <xf numFmtId="0" fontId="22" fillId="4" borderId="0" xfId="0" applyFont="1" applyFill="1" applyAlignment="1">
      <alignment vertical="center"/>
    </xf>
    <xf numFmtId="44" fontId="25" fillId="10" borderId="0" xfId="0" applyNumberFormat="1" applyFont="1" applyFill="1" applyAlignment="1">
      <alignment vertical="center"/>
    </xf>
    <xf numFmtId="0" fontId="25" fillId="10" borderId="0" xfId="0" applyFont="1" applyFill="1" applyAlignment="1">
      <alignment vertical="center"/>
    </xf>
    <xf numFmtId="0" fontId="21" fillId="11" borderId="0" xfId="0" applyFont="1" applyFill="1"/>
    <xf numFmtId="0" fontId="20" fillId="11" borderId="0" xfId="0" applyFont="1" applyFill="1" applyAlignment="1">
      <alignment horizontal="left"/>
    </xf>
    <xf numFmtId="0" fontId="20" fillId="11" borderId="0" xfId="0" applyFont="1" applyFill="1"/>
    <xf numFmtId="164" fontId="20" fillId="10" borderId="0" xfId="0" applyNumberFormat="1" applyFont="1" applyFill="1"/>
    <xf numFmtId="165" fontId="18" fillId="10" borderId="0" xfId="0" applyNumberFormat="1" applyFont="1" applyFill="1"/>
    <xf numFmtId="164" fontId="18" fillId="10" borderId="0" xfId="0" applyNumberFormat="1" applyFont="1" applyFill="1"/>
    <xf numFmtId="164" fontId="20" fillId="0" borderId="0" xfId="0" applyNumberFormat="1" applyFont="1"/>
    <xf numFmtId="165" fontId="18" fillId="0" borderId="0" xfId="0" applyNumberFormat="1" applyFont="1"/>
    <xf numFmtId="0" fontId="34" fillId="0" borderId="0" xfId="0" applyFont="1" applyAlignment="1">
      <alignment horizontal="right"/>
    </xf>
    <xf numFmtId="43" fontId="18" fillId="0" borderId="0" xfId="0" applyNumberFormat="1" applyFont="1"/>
    <xf numFmtId="0" fontId="30" fillId="0" borderId="0" xfId="0" applyFont="1"/>
    <xf numFmtId="0" fontId="18" fillId="10" borderId="0" xfId="0" applyFont="1" applyFill="1" applyAlignment="1">
      <alignment vertical="center" wrapText="1"/>
    </xf>
    <xf numFmtId="0" fontId="20" fillId="0" borderId="0" xfId="0" applyFont="1" applyAlignment="1">
      <alignment horizontal="center" vertical="center" wrapText="1"/>
    </xf>
    <xf numFmtId="0" fontId="21" fillId="10" borderId="0" xfId="0" applyFont="1" applyFill="1"/>
    <xf numFmtId="0" fontId="25" fillId="10" borderId="0" xfId="0" applyFont="1" applyFill="1" applyAlignment="1">
      <alignment wrapText="1"/>
    </xf>
    <xf numFmtId="0" fontId="22" fillId="8" borderId="0" xfId="0" applyFont="1" applyFill="1" applyAlignment="1">
      <alignment vertical="center"/>
    </xf>
    <xf numFmtId="0" fontId="31" fillId="0" borderId="0" xfId="0" applyFont="1" applyAlignment="1">
      <alignment horizontal="right"/>
    </xf>
    <xf numFmtId="164" fontId="32" fillId="0" borderId="0" xfId="0" applyNumberFormat="1" applyFont="1" applyAlignment="1">
      <alignment horizontal="right"/>
    </xf>
    <xf numFmtId="0" fontId="18" fillId="0" borderId="0" xfId="0" applyFont="1" applyAlignment="1">
      <alignment horizontal="center" vertical="top" wrapText="1"/>
    </xf>
    <xf numFmtId="0" fontId="20" fillId="0" borderId="0" xfId="0" applyFont="1" applyAlignment="1">
      <alignment horizontal="right" vertical="top"/>
    </xf>
    <xf numFmtId="43" fontId="31" fillId="0" borderId="0" xfId="6" applyFont="1" applyFill="1" applyBorder="1" applyAlignment="1" applyProtection="1">
      <alignment horizontal="right"/>
    </xf>
    <xf numFmtId="164" fontId="25" fillId="10" borderId="0" xfId="1" applyNumberFormat="1" applyFont="1" applyFill="1" applyBorder="1" applyAlignment="1" applyProtection="1">
      <alignment horizontal="right" vertical="center"/>
    </xf>
    <xf numFmtId="44" fontId="1" fillId="0" borderId="0" xfId="0" applyNumberFormat="1" applyFont="1"/>
    <xf numFmtId="0" fontId="4" fillId="0" borderId="0" xfId="0" applyFont="1" applyAlignment="1">
      <alignment horizontal="center" vertical="center"/>
    </xf>
    <xf numFmtId="0" fontId="20" fillId="10" borderId="0" xfId="0" applyFont="1" applyFill="1" applyAlignment="1">
      <alignment horizontal="center" vertical="center"/>
    </xf>
    <xf numFmtId="0" fontId="18" fillId="0" borderId="0" xfId="0" applyFont="1" applyProtection="1">
      <protection hidden="1"/>
    </xf>
    <xf numFmtId="0" fontId="1" fillId="0" borderId="0" xfId="0" applyFont="1" applyProtection="1">
      <protection hidden="1"/>
    </xf>
    <xf numFmtId="0" fontId="20" fillId="11" borderId="0" xfId="0" applyFont="1" applyFill="1" applyAlignment="1">
      <alignment horizontal="center"/>
    </xf>
    <xf numFmtId="164" fontId="23" fillId="8" borderId="0" xfId="1" applyNumberFormat="1" applyFont="1" applyFill="1" applyBorder="1" applyAlignment="1" applyProtection="1">
      <alignment horizontal="center" vertical="center"/>
    </xf>
    <xf numFmtId="0" fontId="19" fillId="0" borderId="0" xfId="0" quotePrefix="1" applyFont="1" applyAlignment="1">
      <alignment horizontal="left"/>
    </xf>
    <xf numFmtId="0" fontId="19" fillId="0" borderId="0" xfId="0" applyFont="1" applyAlignment="1">
      <alignment horizontal="left"/>
    </xf>
    <xf numFmtId="0" fontId="24" fillId="0" borderId="0" xfId="0" applyFont="1" applyAlignment="1">
      <alignment horizontal="left" vertical="center" wrapText="1"/>
    </xf>
    <xf numFmtId="0" fontId="33" fillId="10" borderId="0" xfId="0" applyFont="1" applyFill="1" applyAlignment="1">
      <alignment horizontal="center" vertical="center"/>
    </xf>
    <xf numFmtId="0" fontId="21" fillId="10" borderId="0" xfId="9" applyFont="1" applyFill="1" applyBorder="1" applyAlignment="1" applyProtection="1">
      <alignment horizontal="left" vertical="top"/>
    </xf>
    <xf numFmtId="0" fontId="35" fillId="9" borderId="0" xfId="0" applyFont="1" applyFill="1" applyAlignment="1">
      <alignment horizontal="center" vertical="center" wrapText="1"/>
    </xf>
    <xf numFmtId="0" fontId="35" fillId="9" borderId="0" xfId="0" applyFont="1" applyFill="1" applyAlignment="1">
      <alignment horizontal="center" vertical="center"/>
    </xf>
    <xf numFmtId="0" fontId="18" fillId="10" borderId="0" xfId="0" applyFont="1" applyFill="1" applyAlignment="1">
      <alignment horizontal="left" vertical="top" wrapText="1"/>
    </xf>
    <xf numFmtId="0" fontId="27" fillId="10" borderId="0" xfId="9" applyFont="1" applyFill="1" applyBorder="1" applyAlignment="1" applyProtection="1">
      <alignment horizontal="left" vertical="top"/>
    </xf>
    <xf numFmtId="0" fontId="22" fillId="8" borderId="0" xfId="0" applyFont="1" applyFill="1" applyAlignment="1">
      <alignment horizontal="left" vertical="center"/>
    </xf>
    <xf numFmtId="0" fontId="37" fillId="10" borderId="0" xfId="9" applyFont="1" applyFill="1" applyBorder="1" applyAlignment="1" applyProtection="1">
      <alignment horizontal="left" vertical="center" wrapText="1"/>
    </xf>
    <xf numFmtId="164" fontId="28" fillId="4" borderId="0" xfId="1" applyNumberFormat="1" applyFont="1" applyFill="1" applyBorder="1" applyAlignment="1" applyProtection="1">
      <alignment horizontal="center" vertical="center"/>
    </xf>
    <xf numFmtId="0" fontId="21" fillId="10" borderId="0" xfId="9" applyFont="1" applyFill="1" applyBorder="1" applyAlignment="1" applyProtection="1">
      <alignment vertical="top"/>
    </xf>
    <xf numFmtId="0" fontId="25" fillId="10" borderId="0" xfId="0" applyFont="1" applyFill="1" applyAlignment="1">
      <alignment horizontal="left" vertical="center"/>
    </xf>
    <xf numFmtId="0" fontId="21" fillId="10" borderId="0" xfId="9" applyFont="1" applyFill="1" applyBorder="1" applyAlignment="1" applyProtection="1">
      <alignment vertical="top" wrapText="1"/>
    </xf>
    <xf numFmtId="0" fontId="22" fillId="4" borderId="0" xfId="0" applyFont="1" applyFill="1" applyAlignment="1">
      <alignment horizontal="left" vertical="center" wrapText="1"/>
    </xf>
    <xf numFmtId="0" fontId="18" fillId="0" borderId="0" xfId="8" applyFont="1" applyFill="1" applyBorder="1" applyAlignment="1" applyProtection="1">
      <alignment horizontal="left" vertical="center" wrapText="1"/>
    </xf>
  </cellXfs>
  <cellStyles count="12">
    <cellStyle name="Calculation" xfId="10" builtinId="22"/>
    <cellStyle name="Comma" xfId="6" builtinId="3"/>
    <cellStyle name="Currency" xfId="1" builtinId="4"/>
    <cellStyle name="Explanatory Text" xfId="9" builtinId="53"/>
    <cellStyle name="GH_Dark_H3" xfId="4" xr:uid="{575DF477-074F-45DE-A7F7-BFB1D51E5D4D}"/>
    <cellStyle name="Hyperlink" xfId="11" builtinId="8"/>
    <cellStyle name="Input" xfId="2" builtinId="20"/>
    <cellStyle name="Neutral" xfId="8" builtinId="28"/>
    <cellStyle name="Normal" xfId="0" builtinId="0"/>
    <cellStyle name="Normal 2" xfId="3" xr:uid="{BE780467-9D84-4C1D-B2B0-0AD966E684D4}"/>
    <cellStyle name="Output" xfId="7" builtinId="21"/>
    <cellStyle name="Percent" xfId="5" builtinId="5"/>
  </cellStyles>
  <dxfs count="27">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i val="0"/>
        <strike val="0"/>
        <condense val="0"/>
        <extend val="0"/>
        <outline val="0"/>
        <shadow val="0"/>
        <u val="none"/>
        <vertAlign val="baseline"/>
        <sz val="10"/>
        <color theme="1"/>
        <name val="Arial"/>
        <family val="2"/>
        <scheme val="none"/>
      </font>
    </dxf>
  </dxfs>
  <tableStyles count="0" defaultTableStyle="TableStyleMedium2" defaultPivotStyle="PivotStyleLight16"/>
  <colors>
    <mruColors>
      <color rgb="FF30318C"/>
      <color rgb="FFF05A22"/>
      <color rgb="FFFFB9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175260</xdr:colOff>
      <xdr:row>0</xdr:row>
      <xdr:rowOff>7621</xdr:rowOff>
    </xdr:from>
    <xdr:to>
      <xdr:col>3</xdr:col>
      <xdr:colOff>1717928</xdr:colOff>
      <xdr:row>1</xdr:row>
      <xdr:rowOff>492035</xdr:rowOff>
    </xdr:to>
    <xdr:pic>
      <xdr:nvPicPr>
        <xdr:cNvPr id="2" name="Picture 1">
          <a:extLst>
            <a:ext uri="{FF2B5EF4-FFF2-40B4-BE49-F238E27FC236}">
              <a16:creationId xmlns:a16="http://schemas.microsoft.com/office/drawing/2014/main" id="{2B7B7547-6E6C-48EF-B981-D5C4A33CAEA5}"/>
            </a:ext>
          </a:extLst>
        </xdr:cNvPr>
        <xdr:cNvPicPr>
          <a:picLocks noChangeAspect="1"/>
        </xdr:cNvPicPr>
      </xdr:nvPicPr>
      <xdr:blipFill rotWithShape="1">
        <a:blip xmlns:r="http://schemas.openxmlformats.org/officeDocument/2006/relationships" r:embed="rId1"/>
        <a:srcRect t="1" b="33566"/>
        <a:stretch/>
      </xdr:blipFill>
      <xdr:spPr>
        <a:xfrm>
          <a:off x="387531" y="7621"/>
          <a:ext cx="3227233" cy="6400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190499</xdr:colOff>
      <xdr:row>0</xdr:row>
      <xdr:rowOff>73269</xdr:rowOff>
    </xdr:from>
    <xdr:to>
      <xdr:col>3</xdr:col>
      <xdr:colOff>1826571</xdr:colOff>
      <xdr:row>4</xdr:row>
      <xdr:rowOff>73269</xdr:rowOff>
    </xdr:to>
    <xdr:pic>
      <xdr:nvPicPr>
        <xdr:cNvPr id="2" name="Picture 1">
          <a:extLst>
            <a:ext uri="{FF2B5EF4-FFF2-40B4-BE49-F238E27FC236}">
              <a16:creationId xmlns:a16="http://schemas.microsoft.com/office/drawing/2014/main" id="{9609E7C7-0982-44C1-B2E0-2A3D68C3D675}"/>
            </a:ext>
          </a:extLst>
        </xdr:cNvPr>
        <xdr:cNvPicPr>
          <a:picLocks noChangeAspect="1"/>
        </xdr:cNvPicPr>
      </xdr:nvPicPr>
      <xdr:blipFill rotWithShape="1">
        <a:blip xmlns:r="http://schemas.openxmlformats.org/officeDocument/2006/relationships" r:embed="rId1"/>
        <a:srcRect b="32072"/>
        <a:stretch/>
      </xdr:blipFill>
      <xdr:spPr>
        <a:xfrm>
          <a:off x="419099" y="73269"/>
          <a:ext cx="3249366" cy="6477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Edward P. Kranich" id="{316B8DBB-ED0F-4C90-AD37-16C8378172C2}" userId="S::EKranich@ctgreenbank.com::cab80148-e854-4768-8929-740607f8759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6DF8618-9DD9-4B93-A94C-AADE9C84BBB2}" name="Table1" displayName="Table1" ref="V1:Y5" totalsRowShown="0" headerRowDxfId="26" dataDxfId="25" dataCellStyle="Currency">
  <autoFilter ref="V1:Y5" xr:uid="{66DF8618-9DD9-4B93-A94C-AADE9C84BBB2}"/>
  <tableColumns count="4">
    <tableColumn id="1" xr3:uid="{DA06B565-B532-44CD-8EE3-0161E2F5804C}" name="Step"/>
    <tableColumn id="2" xr3:uid="{F3E3D3DC-7E03-4DE4-8F2E-0D2B20ECFD70}" name="Small" dataDxfId="24" dataCellStyle="Currency"/>
    <tableColumn id="3" xr3:uid="{DA5EE52C-43D5-4461-8CB7-D117EEFA467F}" name="Medium" dataDxfId="23" dataCellStyle="Currency"/>
    <tableColumn id="4" xr3:uid="{265477B8-5C4E-4603-A66B-4489A81C00F2}" name="Large" dataDxfId="22" dataCellStyle="Currency"/>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39" dT="2024-12-04T14:25:32.22" personId="{316B8DBB-ED0F-4C90-AD37-16C8378172C2}" id="{06E7EB50-F678-4A04-8D11-2F0522CEF74E}">
    <text>Old version of formula, too many arguments?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portal.ct.gov/DECD/Content/About_DECD/Research-and-Publications/02_Review_Publications/Distressed-Municipalities"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1A56D-1ECB-407D-BF98-7C5E48A1BF2C}">
  <sheetPr>
    <pageSetUpPr fitToPage="1"/>
  </sheetPr>
  <dimension ref="B2:Q80"/>
  <sheetViews>
    <sheetView showGridLines="0" zoomScale="115" zoomScaleNormal="115" workbookViewId="0">
      <selection activeCell="E14" sqref="E14"/>
    </sheetView>
  </sheetViews>
  <sheetFormatPr defaultColWidth="9.140625" defaultRowHeight="12.75" x14ac:dyDescent="0.2"/>
  <cols>
    <col min="1" max="1" width="3.140625" style="20" customWidth="1"/>
    <col min="2" max="2" width="3.42578125" style="20" customWidth="1"/>
    <col min="3" max="3" width="21.85546875" style="20" customWidth="1"/>
    <col min="4" max="4" width="42.140625" style="20" customWidth="1"/>
    <col min="5" max="5" width="21.28515625" style="20" customWidth="1"/>
    <col min="6" max="6" width="19.85546875" style="20" customWidth="1"/>
    <col min="7" max="7" width="18.140625" style="20" customWidth="1"/>
    <col min="8" max="9" width="21.28515625" style="20" customWidth="1"/>
    <col min="10" max="10" width="14" style="20" customWidth="1"/>
    <col min="11" max="11" width="25" style="20" bestFit="1" customWidth="1"/>
    <col min="12" max="12" width="11" style="20" bestFit="1" customWidth="1"/>
    <col min="13" max="13" width="14.85546875" style="20" bestFit="1" customWidth="1"/>
    <col min="14" max="14" width="10.28515625" style="20" bestFit="1" customWidth="1"/>
    <col min="15" max="16" width="9.140625" style="20"/>
    <col min="17" max="17" width="27.7109375" style="20" customWidth="1"/>
    <col min="18" max="18" width="15.42578125" style="20" customWidth="1"/>
    <col min="19" max="19" width="9.7109375" style="20" bestFit="1" customWidth="1"/>
    <col min="20" max="16384" width="9.140625" style="20"/>
  </cols>
  <sheetData>
    <row r="2" spans="2:14" ht="41.25" customHeight="1" x14ac:dyDescent="0.2">
      <c r="F2" s="82"/>
    </row>
    <row r="3" spans="2:14" ht="14.25" x14ac:dyDescent="0.2">
      <c r="C3" s="99" t="s">
        <v>167</v>
      </c>
      <c r="D3" s="100"/>
      <c r="E3" s="100"/>
      <c r="F3" s="100"/>
      <c r="G3" s="100"/>
    </row>
    <row r="4" spans="2:14" ht="12.75" customHeight="1" x14ac:dyDescent="0.2">
      <c r="C4" s="101" t="s">
        <v>0</v>
      </c>
      <c r="D4" s="101"/>
      <c r="E4" s="101"/>
      <c r="F4" s="101"/>
      <c r="G4" s="101"/>
      <c r="H4" s="21"/>
      <c r="I4" s="21"/>
      <c r="J4" s="22"/>
    </row>
    <row r="5" spans="2:14" ht="21" customHeight="1" x14ac:dyDescent="0.2">
      <c r="C5" s="101"/>
      <c r="D5" s="101"/>
      <c r="E5" s="101"/>
      <c r="F5" s="101"/>
      <c r="G5" s="101"/>
      <c r="H5" s="21"/>
      <c r="I5" s="89" t="s">
        <v>166</v>
      </c>
      <c r="J5" s="22"/>
    </row>
    <row r="6" spans="2:14" ht="9.75" customHeight="1" x14ac:dyDescent="0.2">
      <c r="C6" s="104" t="str">
        <f>CONCATENATE("C&amp;I"," ","Battery System – ",$C$10," kW / ",$C$11," kWh")</f>
        <v>C&amp;I Battery System – 200 kW / 600 kWh</v>
      </c>
      <c r="D6" s="104"/>
      <c r="E6" s="104"/>
      <c r="F6" s="104"/>
      <c r="G6" s="104"/>
      <c r="H6" s="106" t="s">
        <v>1</v>
      </c>
      <c r="I6" s="106"/>
      <c r="J6" s="22"/>
    </row>
    <row r="7" spans="2:14" ht="9.75" customHeight="1" x14ac:dyDescent="0.2">
      <c r="C7" s="104"/>
      <c r="D7" s="104"/>
      <c r="E7" s="104"/>
      <c r="F7" s="104"/>
      <c r="G7" s="104"/>
      <c r="H7" s="106"/>
      <c r="I7" s="106"/>
      <c r="J7" s="22"/>
    </row>
    <row r="8" spans="2:14" ht="9.75" customHeight="1" x14ac:dyDescent="0.2">
      <c r="C8" s="104"/>
      <c r="D8" s="104"/>
      <c r="E8" s="104"/>
      <c r="F8" s="104"/>
      <c r="G8" s="104"/>
      <c r="H8" s="106"/>
      <c r="I8" s="106"/>
      <c r="J8" s="22"/>
    </row>
    <row r="9" spans="2:14" ht="12.75" customHeight="1" x14ac:dyDescent="0.2">
      <c r="C9" s="97" t="s">
        <v>2</v>
      </c>
      <c r="D9" s="97"/>
      <c r="E9" s="97" t="s">
        <v>3</v>
      </c>
      <c r="F9" s="97"/>
      <c r="G9" s="97"/>
      <c r="H9" s="106"/>
      <c r="I9" s="106"/>
      <c r="J9" s="22"/>
    </row>
    <row r="10" spans="2:14" ht="12.75" customHeight="1" x14ac:dyDescent="0.2">
      <c r="B10" s="57">
        <v>1</v>
      </c>
      <c r="C10" s="27">
        <v>200</v>
      </c>
      <c r="D10" s="60" t="s">
        <v>4</v>
      </c>
      <c r="E10" s="81"/>
      <c r="F10" s="61"/>
      <c r="G10" s="81"/>
      <c r="H10" s="106"/>
      <c r="I10" s="106"/>
      <c r="J10" s="22"/>
    </row>
    <row r="11" spans="2:14" ht="13.5" customHeight="1" x14ac:dyDescent="0.2">
      <c r="B11" s="57">
        <v>2</v>
      </c>
      <c r="C11" s="27">
        <v>600</v>
      </c>
      <c r="D11" s="60" t="s">
        <v>5</v>
      </c>
      <c r="E11" s="81"/>
      <c r="F11" s="81"/>
      <c r="G11" s="81"/>
      <c r="H11" s="106"/>
      <c r="I11" s="106"/>
      <c r="J11" s="22"/>
    </row>
    <row r="12" spans="2:14" ht="12.75" customHeight="1" x14ac:dyDescent="0.2">
      <c r="B12" s="57">
        <v>3</v>
      </c>
      <c r="C12" s="28">
        <v>500000</v>
      </c>
      <c r="D12" s="60" t="s">
        <v>6</v>
      </c>
      <c r="E12" s="61"/>
      <c r="F12" s="63"/>
      <c r="G12" s="61"/>
      <c r="H12" s="106"/>
      <c r="I12" s="106"/>
    </row>
    <row r="13" spans="2:14" ht="12.75" customHeight="1" x14ac:dyDescent="0.2">
      <c r="B13" s="57">
        <v>4</v>
      </c>
      <c r="C13" s="28" t="s">
        <v>7</v>
      </c>
      <c r="D13" s="60" t="s">
        <v>8</v>
      </c>
      <c r="E13" s="61"/>
      <c r="F13" s="61"/>
      <c r="G13" s="61"/>
      <c r="H13" s="106"/>
      <c r="I13" s="106"/>
    </row>
    <row r="14" spans="2:14" x14ac:dyDescent="0.2">
      <c r="B14" s="26"/>
      <c r="C14" s="97" t="s">
        <v>9</v>
      </c>
      <c r="D14" s="97"/>
      <c r="E14" s="61"/>
      <c r="F14" s="61"/>
      <c r="G14" s="61"/>
      <c r="H14" s="106"/>
      <c r="I14" s="106"/>
    </row>
    <row r="15" spans="2:14" x14ac:dyDescent="0.2">
      <c r="B15" s="57">
        <v>5</v>
      </c>
      <c r="C15" s="29">
        <v>210</v>
      </c>
      <c r="D15" s="65" t="s">
        <v>10</v>
      </c>
      <c r="E15" s="103" t="str">
        <f>IF(C15&lt;200.1,"This project qualifies for the Small Business Priority Customer adder","")</f>
        <v/>
      </c>
      <c r="F15" s="103"/>
      <c r="G15" s="103"/>
      <c r="H15" s="106"/>
      <c r="I15" s="106"/>
    </row>
    <row r="16" spans="2:14" ht="12.75" customHeight="1" x14ac:dyDescent="0.2">
      <c r="B16" s="57">
        <v>6</v>
      </c>
      <c r="C16" s="28" t="s">
        <v>101</v>
      </c>
      <c r="D16" s="65" t="s">
        <v>12</v>
      </c>
      <c r="E16" s="107" t="str">
        <f>IF(AND(Annual_Average_Demand_kW&gt;200,(C16="Small Business")),"Small Business adder does not apply to this customer. Make another selection!","")</f>
        <v/>
      </c>
      <c r="F16" s="107"/>
      <c r="G16" s="107"/>
      <c r="H16" s="106"/>
      <c r="I16" s="106"/>
      <c r="J16" s="23"/>
      <c r="K16" s="23"/>
      <c r="L16" s="23"/>
      <c r="M16" s="23"/>
      <c r="N16" s="23"/>
    </row>
    <row r="17" spans="2:14" ht="12.75" customHeight="1" x14ac:dyDescent="0.2">
      <c r="B17" s="58"/>
      <c r="C17" s="97" t="s">
        <v>13</v>
      </c>
      <c r="D17" s="97"/>
      <c r="E17" s="63"/>
      <c r="F17" s="63"/>
      <c r="G17" s="63"/>
      <c r="H17" s="106"/>
      <c r="I17" s="106"/>
      <c r="J17" s="23"/>
      <c r="K17" s="23"/>
      <c r="L17" s="23"/>
      <c r="M17" s="23"/>
      <c r="N17" s="23"/>
    </row>
    <row r="18" spans="2:14" ht="12.75" customHeight="1" x14ac:dyDescent="0.2">
      <c r="B18" s="26"/>
      <c r="C18" s="33" t="str">
        <f>IF(AND(Nameplate_Power_kW/Annual_Average_Demand_kW&gt;1.5,Nameplate_Power_kW&gt;2000),"Not Compliant","OK")</f>
        <v>OK</v>
      </c>
      <c r="D18" s="65" t="s">
        <v>14</v>
      </c>
      <c r="E18" s="107" t="str">
        <f>IF(C18="Not Compliant","Note: Inverter size is limited to the greater of 1.5x Annual Peak Demand or 2 MW.","")</f>
        <v/>
      </c>
      <c r="F18" s="107"/>
      <c r="G18" s="107"/>
      <c r="H18" s="106"/>
      <c r="I18" s="106"/>
      <c r="J18" s="23"/>
      <c r="K18" s="23"/>
      <c r="L18" s="23"/>
      <c r="M18" s="23"/>
      <c r="N18" s="23"/>
    </row>
    <row r="19" spans="2:14" ht="32.25" customHeight="1" x14ac:dyDescent="0.2">
      <c r="B19" s="26"/>
      <c r="C19" s="93" t="str">
        <f>IF(AND(Nameplate_Power_kW&gt;=D70,Nameplate_Power_kW&lt;D71),"Warning!",IF(Nameplate_Power_kW&gt;=D71,"OK","Not Compliant"))</f>
        <v>OK</v>
      </c>
      <c r="D19" s="94" t="s">
        <v>15</v>
      </c>
      <c r="E19" s="109" t="str">
        <f>VLOOKUP(C19,Lookup!A1:B3,2,FALSE)</f>
        <v>System design meets minimum threshold for Passive Dispatch.</v>
      </c>
      <c r="F19" s="109"/>
      <c r="G19" s="109"/>
      <c r="H19" s="106"/>
      <c r="I19" s="106"/>
      <c r="J19" s="23"/>
      <c r="K19" s="23"/>
      <c r="L19" s="23"/>
      <c r="M19" s="23"/>
      <c r="N19" s="23"/>
    </row>
    <row r="20" spans="2:14" ht="12.75" customHeight="1" x14ac:dyDescent="0.2">
      <c r="B20" s="26"/>
      <c r="C20" s="97" t="s">
        <v>16</v>
      </c>
      <c r="D20" s="97"/>
      <c r="E20" s="63"/>
      <c r="F20" s="63"/>
      <c r="G20" s="63"/>
      <c r="H20" s="106"/>
      <c r="I20" s="106"/>
      <c r="J20" s="23"/>
      <c r="K20" s="23"/>
      <c r="L20" s="23"/>
      <c r="M20" s="23"/>
      <c r="N20" s="23"/>
    </row>
    <row r="21" spans="2:14" ht="12.75" customHeight="1" x14ac:dyDescent="0.2">
      <c r="B21" s="57">
        <v>7</v>
      </c>
      <c r="C21" s="30">
        <v>2.5000000000000001E-2</v>
      </c>
      <c r="D21" s="60" t="s">
        <v>17</v>
      </c>
      <c r="E21" s="34" t="s">
        <v>18</v>
      </c>
      <c r="F21" s="61"/>
      <c r="G21" s="61"/>
      <c r="H21" s="106"/>
      <c r="I21" s="106"/>
      <c r="J21" s="23"/>
      <c r="K21" s="23"/>
      <c r="L21" s="23"/>
      <c r="M21" s="23"/>
      <c r="N21" s="23"/>
    </row>
    <row r="22" spans="2:14" ht="12.75" customHeight="1" x14ac:dyDescent="0.2">
      <c r="B22" s="57">
        <v>8</v>
      </c>
      <c r="C22" s="31">
        <v>0.8</v>
      </c>
      <c r="D22" s="60" t="s">
        <v>19</v>
      </c>
      <c r="E22" s="34" t="s">
        <v>20</v>
      </c>
      <c r="F22" s="61"/>
      <c r="G22" s="61"/>
      <c r="H22" s="106"/>
      <c r="I22" s="106"/>
      <c r="J22" s="23"/>
      <c r="K22" s="23"/>
      <c r="L22" s="23"/>
      <c r="M22" s="23"/>
      <c r="N22" s="23"/>
    </row>
    <row r="23" spans="2:14" ht="12.75" customHeight="1" x14ac:dyDescent="0.2">
      <c r="B23" s="57">
        <v>9</v>
      </c>
      <c r="C23" s="31">
        <v>0.75</v>
      </c>
      <c r="D23" s="60" t="s">
        <v>21</v>
      </c>
      <c r="E23" s="83" t="s">
        <v>22</v>
      </c>
      <c r="F23" s="61"/>
      <c r="G23" s="61"/>
      <c r="H23" s="106"/>
      <c r="I23" s="106"/>
      <c r="J23" s="23"/>
      <c r="K23" s="23"/>
      <c r="L23" s="23"/>
      <c r="M23" s="23"/>
      <c r="N23" s="23"/>
    </row>
    <row r="24" spans="2:14" ht="12.75" customHeight="1" x14ac:dyDescent="0.2">
      <c r="B24" s="57">
        <v>10</v>
      </c>
      <c r="C24" s="32">
        <v>2.5</v>
      </c>
      <c r="D24" s="60" t="s">
        <v>23</v>
      </c>
      <c r="E24" s="83" t="s">
        <v>24</v>
      </c>
      <c r="F24" s="61"/>
      <c r="G24" s="61"/>
      <c r="H24" s="106"/>
      <c r="I24" s="106"/>
      <c r="J24" s="23"/>
      <c r="K24" s="23"/>
      <c r="L24" s="23"/>
      <c r="M24" s="23"/>
      <c r="N24" s="23"/>
    </row>
    <row r="25" spans="2:14" ht="12.75" customHeight="1" x14ac:dyDescent="0.2">
      <c r="C25" s="66"/>
      <c r="D25" s="66"/>
      <c r="E25" s="66"/>
      <c r="F25" s="66"/>
      <c r="G25" s="66"/>
      <c r="H25" s="106"/>
      <c r="I25" s="106"/>
      <c r="J25" s="23"/>
      <c r="K25" s="23"/>
      <c r="L25" s="23"/>
      <c r="M25" s="23"/>
      <c r="N25" s="23"/>
    </row>
    <row r="26" spans="2:14" ht="30" customHeight="1" x14ac:dyDescent="0.2">
      <c r="C26" s="105" t="str">
        <f>CONCATENATE("C&amp;I"," ","Battery System – ",C10," kW / ",C11," kWh")</f>
        <v>C&amp;I Battery System – 200 kW / 600 kWh</v>
      </c>
      <c r="D26" s="105"/>
      <c r="E26" s="105"/>
      <c r="F26" s="105"/>
      <c r="G26" s="105"/>
      <c r="H26" s="106"/>
      <c r="I26" s="106"/>
      <c r="J26" s="92"/>
      <c r="K26" s="23"/>
      <c r="L26" s="23"/>
      <c r="M26" s="23"/>
      <c r="N26" s="23"/>
    </row>
    <row r="27" spans="2:14" ht="15.75" customHeight="1" x14ac:dyDescent="0.2">
      <c r="C27" s="108" t="s">
        <v>25</v>
      </c>
      <c r="D27" s="108"/>
      <c r="E27" s="98">
        <f>IF(C19="Not Compliant","Not Passive Compliant",MIN(D68:D69))</f>
        <v>95550</v>
      </c>
      <c r="F27" s="98"/>
      <c r="G27" s="98"/>
      <c r="H27" s="106"/>
      <c r="I27" s="106"/>
      <c r="J27" s="23"/>
      <c r="K27" s="23"/>
      <c r="L27" s="23"/>
      <c r="M27" s="23"/>
      <c r="N27" s="23"/>
    </row>
    <row r="28" spans="2:14" ht="12.75" customHeight="1" x14ac:dyDescent="0.2">
      <c r="C28" s="69" t="s">
        <v>26</v>
      </c>
      <c r="D28" s="84"/>
      <c r="E28" s="84"/>
      <c r="F28" s="69"/>
      <c r="G28" s="56" t="str">
        <f>IF(E27=0.5*C12,"50% of total cost","Rate * kWh (tiered)")</f>
        <v>Rate * kWh (tiered)</v>
      </c>
      <c r="H28" s="106"/>
      <c r="I28" s="106"/>
      <c r="J28" s="23"/>
      <c r="K28" s="23"/>
      <c r="L28" s="23"/>
      <c r="M28" s="23"/>
      <c r="N28" s="23"/>
    </row>
    <row r="29" spans="2:14" ht="15.75" customHeight="1" x14ac:dyDescent="0.2">
      <c r="C29" s="85" t="s">
        <v>27</v>
      </c>
      <c r="D29" s="85"/>
      <c r="E29" s="85"/>
      <c r="F29" s="98">
        <f>$I$44</f>
        <v>232548.81649644935</v>
      </c>
      <c r="G29" s="98"/>
      <c r="H29" s="106"/>
      <c r="I29" s="106"/>
      <c r="J29" s="23"/>
      <c r="K29" s="23"/>
      <c r="L29" s="23"/>
      <c r="M29" s="23"/>
      <c r="N29" s="23"/>
    </row>
    <row r="30" spans="2:14" ht="12.75" customHeight="1" x14ac:dyDescent="0.2">
      <c r="C30" s="69" t="s">
        <v>28</v>
      </c>
      <c r="D30" s="69"/>
      <c r="E30" s="69"/>
      <c r="F30" s="69"/>
      <c r="G30" s="56" t="str">
        <f>$I$45</f>
        <v>Average kW</v>
      </c>
      <c r="H30" s="106"/>
      <c r="I30" s="106"/>
      <c r="J30" s="23"/>
      <c r="K30" s="23"/>
      <c r="L30" s="23"/>
      <c r="M30" s="23"/>
      <c r="N30" s="23"/>
    </row>
    <row r="31" spans="2:14" x14ac:dyDescent="0.2">
      <c r="C31" s="66"/>
      <c r="D31" s="66"/>
      <c r="E31" s="59"/>
      <c r="F31" s="59"/>
      <c r="G31" s="59"/>
      <c r="H31" s="59"/>
      <c r="I31" s="59"/>
      <c r="J31" s="24"/>
      <c r="K31" s="24"/>
    </row>
    <row r="32" spans="2:14" ht="29.25" customHeight="1" x14ac:dyDescent="0.2">
      <c r="C32" s="105" t="s">
        <v>29</v>
      </c>
      <c r="D32" s="105"/>
      <c r="E32" s="105"/>
      <c r="F32" s="105"/>
      <c r="G32" s="105"/>
      <c r="H32" s="105"/>
      <c r="I32" s="105"/>
      <c r="J32" s="24"/>
      <c r="K32" s="24"/>
    </row>
    <row r="33" spans="3:17" x14ac:dyDescent="0.2">
      <c r="C33" s="72" t="s">
        <v>30</v>
      </c>
      <c r="D33" s="72" t="s">
        <v>31</v>
      </c>
      <c r="E33" s="72" t="s">
        <v>32</v>
      </c>
      <c r="F33" s="72" t="s">
        <v>33</v>
      </c>
      <c r="G33" s="72" t="s">
        <v>34</v>
      </c>
      <c r="H33" s="72" t="s">
        <v>35</v>
      </c>
      <c r="I33" s="72" t="s">
        <v>36</v>
      </c>
    </row>
    <row r="34" spans="3:17" x14ac:dyDescent="0.2">
      <c r="C34" s="73" t="s">
        <v>37</v>
      </c>
      <c r="D34" s="74">
        <f>$C$11</f>
        <v>600</v>
      </c>
      <c r="E34" s="74">
        <f t="shared" ref="E34:E43" si="0">MIN(Nameplate_Power_kW,(D34*$C$22*$C$23)/EventDuration)</f>
        <v>144</v>
      </c>
      <c r="F34" s="75">
        <f t="shared" ref="F34:F43" si="1">$C$10</f>
        <v>200</v>
      </c>
      <c r="G34" s="36">
        <f t="shared" ref="G34:G38" si="2">200*MIN($E34, Nameplate_Power_kW)</f>
        <v>28800</v>
      </c>
      <c r="H34" s="75">
        <f t="shared" ref="H34:H38" si="3">25*MIN($E34, Nameplate_Power_kW)</f>
        <v>3600</v>
      </c>
      <c r="I34" s="73">
        <f t="shared" ref="I34:I43" si="4">SUM(G34:H34)</f>
        <v>32400</v>
      </c>
    </row>
    <row r="35" spans="3:17" x14ac:dyDescent="0.2">
      <c r="C35" s="76" t="s">
        <v>38</v>
      </c>
      <c r="D35" s="77">
        <f t="shared" ref="D35:D43" si="5">D34*(1-$C$21)</f>
        <v>585</v>
      </c>
      <c r="E35" s="77">
        <f t="shared" si="0"/>
        <v>140.4</v>
      </c>
      <c r="F35" s="25">
        <f t="shared" si="1"/>
        <v>200</v>
      </c>
      <c r="G35" s="35">
        <f t="shared" si="2"/>
        <v>28080</v>
      </c>
      <c r="H35" s="25">
        <f t="shared" si="3"/>
        <v>3510</v>
      </c>
      <c r="I35" s="76">
        <f t="shared" si="4"/>
        <v>31590</v>
      </c>
    </row>
    <row r="36" spans="3:17" x14ac:dyDescent="0.2">
      <c r="C36" s="73" t="s">
        <v>39</v>
      </c>
      <c r="D36" s="74">
        <f t="shared" si="5"/>
        <v>570.375</v>
      </c>
      <c r="E36" s="74">
        <f t="shared" si="0"/>
        <v>136.89000000000001</v>
      </c>
      <c r="F36" s="75">
        <f t="shared" si="1"/>
        <v>200</v>
      </c>
      <c r="G36" s="36">
        <f t="shared" si="2"/>
        <v>27378.000000000004</v>
      </c>
      <c r="H36" s="75">
        <f t="shared" si="3"/>
        <v>3422.2500000000005</v>
      </c>
      <c r="I36" s="73">
        <f t="shared" si="4"/>
        <v>30800.250000000004</v>
      </c>
    </row>
    <row r="37" spans="3:17" x14ac:dyDescent="0.2">
      <c r="C37" s="76" t="s">
        <v>40</v>
      </c>
      <c r="D37" s="77">
        <f t="shared" si="5"/>
        <v>556.11562500000002</v>
      </c>
      <c r="E37" s="77">
        <f t="shared" si="0"/>
        <v>133.46775000000002</v>
      </c>
      <c r="F37" s="25">
        <f t="shared" si="1"/>
        <v>200</v>
      </c>
      <c r="G37" s="35">
        <f t="shared" si="2"/>
        <v>26693.550000000003</v>
      </c>
      <c r="H37" s="25">
        <f t="shared" si="3"/>
        <v>3336.6937500000004</v>
      </c>
      <c r="I37" s="76">
        <f t="shared" si="4"/>
        <v>30030.243750000001</v>
      </c>
    </row>
    <row r="38" spans="3:17" x14ac:dyDescent="0.2">
      <c r="C38" s="73" t="s">
        <v>41</v>
      </c>
      <c r="D38" s="74">
        <f t="shared" si="5"/>
        <v>542.21273437499997</v>
      </c>
      <c r="E38" s="74">
        <f t="shared" si="0"/>
        <v>130.13105625</v>
      </c>
      <c r="F38" s="75">
        <f t="shared" si="1"/>
        <v>200</v>
      </c>
      <c r="G38" s="36">
        <f t="shared" si="2"/>
        <v>26026.21125</v>
      </c>
      <c r="H38" s="75">
        <f t="shared" si="3"/>
        <v>3253.27640625</v>
      </c>
      <c r="I38" s="73">
        <f t="shared" si="4"/>
        <v>29279.487656249999</v>
      </c>
    </row>
    <row r="39" spans="3:17" x14ac:dyDescent="0.2">
      <c r="C39" s="76" t="s">
        <v>42</v>
      </c>
      <c r="D39" s="77">
        <f t="shared" si="5"/>
        <v>528.6574160156249</v>
      </c>
      <c r="E39" s="77">
        <f t="shared" si="0"/>
        <v>126.87777984374998</v>
      </c>
      <c r="F39" s="25">
        <f t="shared" si="1"/>
        <v>200</v>
      </c>
      <c r="G39" s="35">
        <f>115*MIN($E39, Nameplate_Power_kW)</f>
        <v>14590.944682031248</v>
      </c>
      <c r="H39" s="25">
        <f>15*MIN($E39, Nameplate_Power_kW)</f>
        <v>1903.1666976562497</v>
      </c>
      <c r="I39" s="76">
        <f t="shared" si="4"/>
        <v>16494.111379687496</v>
      </c>
    </row>
    <row r="40" spans="3:17" x14ac:dyDescent="0.2">
      <c r="C40" s="73" t="s">
        <v>43</v>
      </c>
      <c r="D40" s="74">
        <f t="shared" si="5"/>
        <v>515.44098061523425</v>
      </c>
      <c r="E40" s="74">
        <f t="shared" si="0"/>
        <v>123.70583534765623</v>
      </c>
      <c r="F40" s="75">
        <f t="shared" si="1"/>
        <v>200</v>
      </c>
      <c r="G40" s="36">
        <f>115*MIN($E40, Nameplate_Power_kW)</f>
        <v>14226.171064980466</v>
      </c>
      <c r="H40" s="75">
        <f>15*MIN($E40, Nameplate_Power_kW)</f>
        <v>1855.5875302148436</v>
      </c>
      <c r="I40" s="73">
        <f t="shared" si="4"/>
        <v>16081.75859519531</v>
      </c>
    </row>
    <row r="41" spans="3:17" x14ac:dyDescent="0.2">
      <c r="C41" s="76" t="s">
        <v>44</v>
      </c>
      <c r="D41" s="77">
        <f t="shared" si="5"/>
        <v>502.55495609985337</v>
      </c>
      <c r="E41" s="77">
        <f t="shared" si="0"/>
        <v>120.61318946396482</v>
      </c>
      <c r="F41" s="25">
        <f t="shared" si="1"/>
        <v>200</v>
      </c>
      <c r="G41" s="35">
        <f>115*MIN($E41, Nameplate_Power_kW)</f>
        <v>13870.516788355953</v>
      </c>
      <c r="H41" s="25">
        <f>15*MIN($E41, Nameplate_Power_kW)</f>
        <v>1809.1978419594723</v>
      </c>
      <c r="I41" s="76">
        <f t="shared" si="4"/>
        <v>15679.714630315426</v>
      </c>
    </row>
    <row r="42" spans="3:17" x14ac:dyDescent="0.2">
      <c r="C42" s="73" t="s">
        <v>45</v>
      </c>
      <c r="D42" s="74">
        <f t="shared" si="5"/>
        <v>489.991082197357</v>
      </c>
      <c r="E42" s="74">
        <f t="shared" si="0"/>
        <v>117.59785972736567</v>
      </c>
      <c r="F42" s="75">
        <f t="shared" si="1"/>
        <v>200</v>
      </c>
      <c r="G42" s="36">
        <f>115*MIN($E42, Nameplate_Power_kW)</f>
        <v>13523.753868647053</v>
      </c>
      <c r="H42" s="75">
        <f>15*MIN($E42, Nameplate_Power_kW)</f>
        <v>1763.9678959104851</v>
      </c>
      <c r="I42" s="73">
        <f t="shared" si="4"/>
        <v>15287.721764557538</v>
      </c>
    </row>
    <row r="43" spans="3:17" x14ac:dyDescent="0.2">
      <c r="C43" s="76" t="s">
        <v>46</v>
      </c>
      <c r="D43" s="77">
        <f t="shared" si="5"/>
        <v>477.74130514242307</v>
      </c>
      <c r="E43" s="77">
        <f t="shared" si="0"/>
        <v>114.65791323418155</v>
      </c>
      <c r="F43" s="25">
        <f t="shared" si="1"/>
        <v>200</v>
      </c>
      <c r="G43" s="35">
        <f>115*MIN($E43, Nameplate_Power_kW)</f>
        <v>13185.660021930878</v>
      </c>
      <c r="H43" s="25">
        <f>15*MIN($E43, Nameplate_Power_kW)</f>
        <v>1719.8686985127233</v>
      </c>
      <c r="I43" s="76">
        <f t="shared" si="4"/>
        <v>14905.528720443603</v>
      </c>
    </row>
    <row r="44" spans="3:17" x14ac:dyDescent="0.2">
      <c r="C44" s="73" t="s">
        <v>36</v>
      </c>
      <c r="D44" s="61"/>
      <c r="E44" s="61"/>
      <c r="F44" s="61"/>
      <c r="G44" s="61"/>
      <c r="H44" s="63"/>
      <c r="I44" s="73">
        <f>SUM(I34:I43)</f>
        <v>232548.81649644935</v>
      </c>
    </row>
    <row r="45" spans="3:17" x14ac:dyDescent="0.2">
      <c r="C45"/>
      <c r="D45"/>
      <c r="E45"/>
      <c r="F45"/>
      <c r="G45"/>
      <c r="H45"/>
      <c r="I45" s="86" t="str">
        <f>IF(G34=(C10*200),"Limited by inverter size","Average kW")</f>
        <v>Average kW</v>
      </c>
    </row>
    <row r="46" spans="3:17" x14ac:dyDescent="0.2">
      <c r="H46"/>
    </row>
    <row r="47" spans="3:17" x14ac:dyDescent="0.2">
      <c r="H47"/>
    </row>
    <row r="48" spans="3:17" x14ac:dyDescent="0.2">
      <c r="H48"/>
      <c r="I48"/>
      <c r="Q48" s="25"/>
    </row>
    <row r="55" spans="3:4" x14ac:dyDescent="0.2">
      <c r="C55" s="102" t="s">
        <v>47</v>
      </c>
      <c r="D55" s="102"/>
    </row>
    <row r="56" spans="3:4" x14ac:dyDescent="0.2">
      <c r="C56" s="80" t="s">
        <v>48</v>
      </c>
      <c r="D56" s="49" t="str">
        <f>IF(Annual_Average_Demand_kW&lt;200,"Small C&amp;I",IF(Annual_Average_Demand_kW&lt;500,"Medium C&amp;I","Large C&amp;I"))</f>
        <v>Medium C&amp;I</v>
      </c>
    </row>
    <row r="57" spans="3:4" x14ac:dyDescent="0.2">
      <c r="C57" s="80" t="s">
        <v>49</v>
      </c>
      <c r="D57" s="87" t="str">
        <f>StepSelector</f>
        <v>Tranche 3 Step 1</v>
      </c>
    </row>
    <row r="58" spans="3:4" x14ac:dyDescent="0.2">
      <c r="C58" s="80" t="s">
        <v>50</v>
      </c>
      <c r="D58" s="50">
        <f>VLOOKUP(StepSelector,T3Steps,2,FALSE)</f>
        <v>182</v>
      </c>
    </row>
    <row r="59" spans="3:4" x14ac:dyDescent="0.2">
      <c r="C59" s="80" t="s">
        <v>51</v>
      </c>
      <c r="D59" s="50">
        <f>VLOOKUP(StepSelector,T3Steps,3,FALSE)</f>
        <v>159.25</v>
      </c>
    </row>
    <row r="60" spans="3:4" x14ac:dyDescent="0.2">
      <c r="C60" s="80" t="s">
        <v>52</v>
      </c>
      <c r="D60" s="50">
        <f>VLOOKUP(StepSelector,T3Steps,4,FALSE)</f>
        <v>91</v>
      </c>
    </row>
    <row r="61" spans="3:4" x14ac:dyDescent="0.2">
      <c r="C61" s="80" t="s">
        <v>53</v>
      </c>
      <c r="D61" s="51">
        <f>Nameplate_Power_kW/Annual_Average_Demand_kW</f>
        <v>0.95238095238095233</v>
      </c>
    </row>
    <row r="62" spans="3:4" x14ac:dyDescent="0.2">
      <c r="C62" s="80" t="s">
        <v>54</v>
      </c>
      <c r="D62" s="51">
        <f>Nameplate_Energy_Capacity_kW/Nameplate_Power_kW</f>
        <v>3</v>
      </c>
    </row>
    <row r="63" spans="3:4" x14ac:dyDescent="0.2">
      <c r="C63" s="80" t="s">
        <v>55</v>
      </c>
      <c r="D63" s="52">
        <f>IF(Customer_Class="Small C&amp;I", IF(Nameplate_Power_kW&lt;200, Nameplate_Power_kW*kWh_kW_Ratio, 200*kWh_kW_Ratio), 0)</f>
        <v>0</v>
      </c>
    </row>
    <row r="64" spans="3:4" x14ac:dyDescent="0.2">
      <c r="C64" s="80" t="s">
        <v>56</v>
      </c>
      <c r="D64" s="52">
        <f>IF(Customer_Class="Medium C&amp;I", IF(Nameplate_Power_kW&lt;500, Nameplate_Power_kW*kWh_kW_Ratio, 500*kWh_kW_Ratio),
  IF(Customer_Class="Small C&amp;I",       IF(Nameplate_Power_kW&lt;200, 0, IF(Nameplate_Power_kW&lt;500, (Nameplate_Power_kW-200)*kWh_kW_Ratio, 300*kWh_kW_Ratio)),
  0))</f>
        <v>600</v>
      </c>
    </row>
    <row r="65" spans="3:10" x14ac:dyDescent="0.2">
      <c r="C65" s="80" t="s">
        <v>57</v>
      </c>
      <c r="D65" s="52">
        <f>MAX(0, MIN(Nameplate_Power_kW, MAX(2000, Annual_Average_Demand_kW*1.5))*kWh_kW_Ratio-Medium_Tier-Small_Tier)</f>
        <v>0</v>
      </c>
    </row>
    <row r="66" spans="3:10" x14ac:dyDescent="0.2">
      <c r="C66" s="80" t="s">
        <v>58</v>
      </c>
      <c r="D66" s="37" t="str">
        <f>IF(SUM(Small_Tier:Large_Tier)=Nameplate_Energy_Capacity_kWH,"OK","ERROR")</f>
        <v>OK</v>
      </c>
    </row>
    <row r="67" spans="3:10" x14ac:dyDescent="0.2">
      <c r="C67" s="80" t="s">
        <v>59</v>
      </c>
      <c r="D67" s="52">
        <f>IF(C16&lt;&gt;"None",1.25,1)</f>
        <v>1</v>
      </c>
    </row>
    <row r="68" spans="3:10" x14ac:dyDescent="0.2">
      <c r="C68" s="80" t="s">
        <v>60</v>
      </c>
      <c r="D68" s="53">
        <f>0.5*Total_System_Cost</f>
        <v>250000</v>
      </c>
    </row>
    <row r="69" spans="3:10" x14ac:dyDescent="0.2">
      <c r="C69" s="80" t="s">
        <v>61</v>
      </c>
      <c r="D69" s="53">
        <f>(IF(((Small_Tier*SmallTierRate)+(Medium_Tier*MedTierRate)+(Large_Tier*LargeTierRate))&gt;0.5*Total_System_Cost,0.5*Total_System_Cost,((Small_Tier*SmallTierRate)+(Medium_Tier*MedTierRate)+(Large_Tier*LargeTierRate))))*D67</f>
        <v>95550</v>
      </c>
    </row>
    <row r="70" spans="3:10" x14ac:dyDescent="0.2">
      <c r="C70" s="80" t="s">
        <v>171</v>
      </c>
      <c r="D70" s="52">
        <f>Nameplate_Capacity_kWh*0.72/3</f>
        <v>144</v>
      </c>
    </row>
    <row r="71" spans="3:10" x14ac:dyDescent="0.2">
      <c r="C71" s="80" t="s">
        <v>172</v>
      </c>
      <c r="D71" s="52">
        <f>Nameplate_Capacity_kWh*0.8/3</f>
        <v>160</v>
      </c>
    </row>
    <row r="74" spans="3:10" ht="12.75" customHeight="1" x14ac:dyDescent="0.2">
      <c r="G74" s="23"/>
      <c r="H74" s="23"/>
      <c r="I74" s="23"/>
      <c r="J74" s="23"/>
    </row>
    <row r="75" spans="3:10" x14ac:dyDescent="0.2">
      <c r="C75" s="23"/>
      <c r="G75" s="23"/>
      <c r="H75" s="23"/>
      <c r="I75" s="23"/>
      <c r="J75" s="23"/>
    </row>
    <row r="76" spans="3:10" x14ac:dyDescent="0.2">
      <c r="C76" s="23"/>
      <c r="G76" s="23"/>
      <c r="H76" s="23"/>
      <c r="I76" s="23"/>
      <c r="J76" s="23"/>
    </row>
    <row r="77" spans="3:10" x14ac:dyDescent="0.2">
      <c r="G77" s="23"/>
      <c r="H77" s="23"/>
      <c r="I77" s="23"/>
      <c r="J77" s="23"/>
    </row>
    <row r="78" spans="3:10" x14ac:dyDescent="0.2">
      <c r="F78" s="26"/>
    </row>
    <row r="79" spans="3:10" x14ac:dyDescent="0.2">
      <c r="F79" s="26"/>
    </row>
    <row r="80" spans="3:10" x14ac:dyDescent="0.2">
      <c r="F80" s="26"/>
    </row>
  </sheetData>
  <sheetProtection sheet="1" objects="1" scenarios="1"/>
  <mergeCells count="19">
    <mergeCell ref="C55:D55"/>
    <mergeCell ref="E9:G9"/>
    <mergeCell ref="E15:G15"/>
    <mergeCell ref="C6:G8"/>
    <mergeCell ref="C26:G26"/>
    <mergeCell ref="C32:I32"/>
    <mergeCell ref="H6:I30"/>
    <mergeCell ref="E16:G16"/>
    <mergeCell ref="C17:D17"/>
    <mergeCell ref="C27:D27"/>
    <mergeCell ref="E19:G19"/>
    <mergeCell ref="E18:G18"/>
    <mergeCell ref="C9:D9"/>
    <mergeCell ref="C14:D14"/>
    <mergeCell ref="F29:G29"/>
    <mergeCell ref="C3:G3"/>
    <mergeCell ref="C4:G5"/>
    <mergeCell ref="C20:D20"/>
    <mergeCell ref="E27:G27"/>
  </mergeCells>
  <conditionalFormatting sqref="C18">
    <cfRule type="containsText" dxfId="21" priority="28" operator="containsText" text="OK">
      <formula>NOT(ISERROR(SEARCH("OK",C18)))</formula>
    </cfRule>
    <cfRule type="containsText" dxfId="20" priority="29" operator="containsText" text="Not Compliant">
      <formula>NOT(ISERROR(SEARCH("Not Compliant",C18)))</formula>
    </cfRule>
  </conditionalFormatting>
  <conditionalFormatting sqref="C19">
    <cfRule type="cellIs" dxfId="19" priority="4" operator="equal">
      <formula>"OK"</formula>
    </cfRule>
    <cfRule type="cellIs" dxfId="18" priority="5" operator="equal">
      <formula>"Warning!"</formula>
    </cfRule>
    <cfRule type="cellIs" dxfId="17" priority="6" operator="equal">
      <formula>"Not Compliant"</formula>
    </cfRule>
  </conditionalFormatting>
  <conditionalFormatting sqref="D66">
    <cfRule type="containsText" dxfId="16" priority="14" operator="containsText" text="Error">
      <formula>NOT(ISERROR(SEARCH("Error",D66)))</formula>
    </cfRule>
    <cfRule type="containsText" dxfId="15" priority="15" operator="containsText" text="OK">
      <formula>NOT(ISERROR(SEARCH("OK",D66)))</formula>
    </cfRule>
  </conditionalFormatting>
  <conditionalFormatting sqref="E27">
    <cfRule type="containsText" dxfId="14" priority="16" operator="containsText" text="Not">
      <formula>NOT(ISERROR(SEARCH("Not",E27)))</formula>
    </cfRule>
  </conditionalFormatting>
  <conditionalFormatting sqref="E15:G16">
    <cfRule type="containsText" dxfId="13" priority="11" operator="containsText" text="this project">
      <formula>NOT(ISERROR(SEARCH("this project",E15)))</formula>
    </cfRule>
  </conditionalFormatting>
  <conditionalFormatting sqref="E16:G16">
    <cfRule type="containsText" dxfId="12" priority="10" operator="containsText" text="small">
      <formula>NOT(ISERROR(SEARCH("small",E16)))</formula>
    </cfRule>
  </conditionalFormatting>
  <conditionalFormatting sqref="E19:G19">
    <cfRule type="containsText" dxfId="11" priority="1" operator="containsText" text="not capable">
      <formula>NOT(ISERROR(SEARCH("not capable",E19)))</formula>
    </cfRule>
    <cfRule type="containsText" dxfId="10" priority="2" operator="containsText" text="100%">
      <formula>NOT(ISERROR(SEARCH("100%",E19)))</formula>
    </cfRule>
    <cfRule type="containsText" dxfId="9" priority="3" operator="containsText" text="Meets minimum threshold for Passive Dispatch.">
      <formula>NOT(ISERROR(SEARCH("Meets minimum threshold for Passive Dispatch.",E19)))</formula>
    </cfRule>
  </conditionalFormatting>
  <conditionalFormatting sqref="F2">
    <cfRule type="containsText" dxfId="8" priority="8" operator="containsText" text="OK">
      <formula>NOT(ISERROR(SEARCH("OK",F2)))</formula>
    </cfRule>
    <cfRule type="containsText" dxfId="7" priority="9" operator="containsText" text="Not Compliant">
      <formula>NOT(ISERROR(SEARCH("Not Compliant",F2)))</formula>
    </cfRule>
  </conditionalFormatting>
  <pageMargins left="0.7" right="0.7" top="0.75" bottom="0.75" header="0.3" footer="0.3"/>
  <pageSetup scale="72" fitToHeight="0" orientation="landscape" verticalDpi="300"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4419539E-C721-480E-9FBB-AC4333CE802B}">
          <x14:formula1>
            <xm:f>Picklists!$B$2:$B$22</xm:f>
          </x14:formula1>
          <xm:sqref>C22:C23</xm:sqref>
        </x14:dataValidation>
        <x14:dataValidation type="list" allowBlank="1" showInputMessage="1" showErrorMessage="1" xr:uid="{E850E4F9-272C-460C-9E98-67DEC6DFA9AD}">
          <x14:formula1>
            <xm:f>Picklists!$C$2:$C$10</xm:f>
          </x14:formula1>
          <xm:sqref>C21</xm:sqref>
        </x14:dataValidation>
        <x14:dataValidation type="list" allowBlank="1" showInputMessage="1" showErrorMessage="1" promptTitle="Priority Status" prompt="Only customers with an Annual Peak Demand &lt; 200 kW qualify for the &quot;Small Business&quot; adder. Priority Adders are not stackable." xr:uid="{E7F4D56C-D933-4831-82E9-E8F209C233DE}">
          <x14:formula1>
            <xm:f>Picklists!$I$2:$I$6</xm:f>
          </x14:formula1>
          <xm:sqref>C16</xm:sqref>
        </x14:dataValidation>
        <x14:dataValidation type="list" allowBlank="1" showInputMessage="1" showErrorMessage="1" xr:uid="{04C61B06-7119-4523-BF1E-2D25B492BCCC}">
          <x14:formula1>
            <xm:f>Picklists!$J$2:$J$22</xm:f>
          </x14:formula1>
          <xm:sqref>C24</xm:sqref>
        </x14:dataValidation>
        <x14:dataValidation type="list" allowBlank="1" showInputMessage="1" showErrorMessage="1" xr:uid="{89987A6F-7DEC-4FF6-82BB-6D1DF9FDB5AB}">
          <x14:formula1>
            <xm:f>Picklists!$D$2:$D$5</xm:f>
          </x14:formula1>
          <xm:sqref>C13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E30E2-D390-477F-9F8E-2C346F59404C}">
  <sheetPr>
    <pageSetUpPr fitToPage="1"/>
  </sheetPr>
  <dimension ref="B6:AG61"/>
  <sheetViews>
    <sheetView showGridLines="0" tabSelected="1" zoomScale="115" zoomScaleNormal="115" workbookViewId="0">
      <selection activeCell="E4" sqref="E4"/>
    </sheetView>
  </sheetViews>
  <sheetFormatPr defaultColWidth="9.140625" defaultRowHeight="12.75" x14ac:dyDescent="0.2"/>
  <cols>
    <col min="1" max="2" width="3.42578125" style="20" customWidth="1"/>
    <col min="3" max="3" width="20.85546875" style="20" customWidth="1"/>
    <col min="4" max="4" width="43.5703125" style="20" customWidth="1"/>
    <col min="5" max="5" width="29.140625" style="20" customWidth="1"/>
    <col min="6" max="6" width="22.42578125" style="20" customWidth="1"/>
    <col min="7" max="7" width="15" style="20" customWidth="1"/>
    <col min="8" max="8" width="17.140625" style="20" customWidth="1"/>
    <col min="9" max="9" width="16.85546875" style="20" customWidth="1"/>
    <col min="10" max="10" width="16" style="20" customWidth="1"/>
    <col min="11" max="11" width="26.85546875" style="20" bestFit="1" customWidth="1"/>
    <col min="12" max="13" width="14.140625" style="20" bestFit="1" customWidth="1"/>
    <col min="14" max="17" width="11.28515625" style="20" bestFit="1" customWidth="1"/>
    <col min="18" max="16384" width="9.140625" style="20"/>
  </cols>
  <sheetData>
    <row r="6" spans="2:10" ht="14.25" x14ac:dyDescent="0.2">
      <c r="C6" s="100" t="s">
        <v>62</v>
      </c>
      <c r="D6" s="100"/>
      <c r="E6" s="100"/>
      <c r="F6" s="100"/>
      <c r="G6" s="100"/>
    </row>
    <row r="7" spans="2:10" ht="12.75" customHeight="1" x14ac:dyDescent="0.2">
      <c r="C7" s="115" t="s">
        <v>63</v>
      </c>
      <c r="D7" s="115"/>
      <c r="E7" s="115"/>
      <c r="F7" s="115"/>
      <c r="G7" s="115"/>
    </row>
    <row r="8" spans="2:10" ht="12.75" customHeight="1" x14ac:dyDescent="0.2">
      <c r="C8" s="115"/>
      <c r="D8" s="115"/>
      <c r="E8" s="115"/>
      <c r="F8" s="115"/>
      <c r="G8" s="115"/>
      <c r="H8" s="23"/>
      <c r="I8" s="23"/>
      <c r="J8" s="23"/>
    </row>
    <row r="9" spans="2:10" ht="12.75" customHeight="1" x14ac:dyDescent="0.2">
      <c r="C9" s="115"/>
      <c r="D9" s="115"/>
      <c r="E9" s="115"/>
      <c r="F9" s="115"/>
      <c r="G9" s="115"/>
      <c r="H9" s="23"/>
      <c r="I9" s="23"/>
      <c r="J9" s="23"/>
    </row>
    <row r="10" spans="2:10" ht="12.75" customHeight="1" x14ac:dyDescent="0.2">
      <c r="C10" s="88"/>
      <c r="D10" s="88"/>
      <c r="F10" s="23"/>
      <c r="G10" s="23"/>
      <c r="H10" s="23"/>
      <c r="I10" s="89" t="s">
        <v>166</v>
      </c>
      <c r="J10" s="23"/>
    </row>
    <row r="11" spans="2:10" ht="9.75" customHeight="1" x14ac:dyDescent="0.2">
      <c r="C11" s="104" t="str">
        <f>CONCATENATE("Residential Battery System – ",$C$15," kW / ",$C$16," kWh")</f>
        <v>Residential Battery System – 10 kW / 30 kWh</v>
      </c>
      <c r="D11" s="104"/>
      <c r="E11" s="104"/>
      <c r="F11" s="104"/>
      <c r="G11" s="104"/>
      <c r="H11" s="106" t="s">
        <v>64</v>
      </c>
      <c r="I11" s="106"/>
      <c r="J11" s="23"/>
    </row>
    <row r="12" spans="2:10" ht="9.75" customHeight="1" x14ac:dyDescent="0.2">
      <c r="C12" s="104"/>
      <c r="D12" s="104"/>
      <c r="E12" s="104"/>
      <c r="F12" s="104"/>
      <c r="G12" s="104"/>
      <c r="H12" s="106"/>
      <c r="I12" s="106"/>
      <c r="J12" s="23"/>
    </row>
    <row r="13" spans="2:10" ht="9.75" customHeight="1" x14ac:dyDescent="0.2">
      <c r="C13" s="104"/>
      <c r="D13" s="104"/>
      <c r="E13" s="104"/>
      <c r="F13" s="104"/>
      <c r="G13" s="104"/>
      <c r="H13" s="106"/>
      <c r="I13" s="106"/>
      <c r="J13" s="23"/>
    </row>
    <row r="14" spans="2:10" ht="12.75" customHeight="1" x14ac:dyDescent="0.2">
      <c r="C14" s="97" t="s">
        <v>2</v>
      </c>
      <c r="D14" s="97"/>
      <c r="E14" s="97" t="s">
        <v>3</v>
      </c>
      <c r="F14" s="97"/>
      <c r="G14" s="97"/>
      <c r="H14" s="106"/>
      <c r="I14" s="106"/>
      <c r="J14" s="23"/>
    </row>
    <row r="15" spans="2:10" ht="12.75" customHeight="1" x14ac:dyDescent="0.2">
      <c r="B15" s="57">
        <v>1</v>
      </c>
      <c r="C15" s="38">
        <v>10</v>
      </c>
      <c r="D15" s="60" t="s">
        <v>4</v>
      </c>
      <c r="E15" s="61"/>
      <c r="F15" s="62"/>
      <c r="G15" s="62"/>
      <c r="H15" s="106"/>
      <c r="I15" s="106"/>
      <c r="J15" s="23"/>
    </row>
    <row r="16" spans="2:10" ht="12.75" customHeight="1" x14ac:dyDescent="0.2">
      <c r="B16" s="57">
        <v>2</v>
      </c>
      <c r="C16" s="38">
        <v>30</v>
      </c>
      <c r="D16" s="60" t="s">
        <v>5</v>
      </c>
      <c r="E16" s="61"/>
      <c r="F16" s="62"/>
      <c r="G16" s="62"/>
      <c r="H16" s="106"/>
      <c r="I16" s="106"/>
      <c r="J16" s="23"/>
    </row>
    <row r="17" spans="2:15" x14ac:dyDescent="0.2">
      <c r="B17" s="57">
        <v>3</v>
      </c>
      <c r="C17" s="39">
        <v>30000</v>
      </c>
      <c r="D17" s="60" t="s">
        <v>65</v>
      </c>
      <c r="E17" s="61"/>
      <c r="F17" s="61"/>
      <c r="G17" s="61"/>
      <c r="H17" s="106"/>
      <c r="I17" s="106"/>
    </row>
    <row r="18" spans="2:15" x14ac:dyDescent="0.2">
      <c r="B18" s="26"/>
      <c r="C18" s="97" t="s">
        <v>12</v>
      </c>
      <c r="D18" s="97"/>
      <c r="E18" s="63"/>
      <c r="F18" s="63"/>
      <c r="G18" s="63"/>
      <c r="H18" s="106"/>
      <c r="I18" s="106"/>
    </row>
    <row r="19" spans="2:15" x14ac:dyDescent="0.2">
      <c r="B19" s="57">
        <v>4</v>
      </c>
      <c r="C19" s="40" t="s">
        <v>66</v>
      </c>
      <c r="D19" s="64" t="s">
        <v>67</v>
      </c>
      <c r="E19" s="61"/>
      <c r="F19" s="61"/>
      <c r="G19" s="61"/>
      <c r="H19" s="106"/>
      <c r="I19" s="106"/>
    </row>
    <row r="20" spans="2:15" x14ac:dyDescent="0.2">
      <c r="B20" s="57">
        <v>5</v>
      </c>
      <c r="C20" s="28" t="s">
        <v>68</v>
      </c>
      <c r="D20" s="60" t="s">
        <v>69</v>
      </c>
      <c r="E20" s="111" t="s">
        <v>70</v>
      </c>
      <c r="F20" s="111"/>
      <c r="G20" s="111"/>
      <c r="H20" s="106"/>
      <c r="I20" s="106"/>
    </row>
    <row r="21" spans="2:15" x14ac:dyDescent="0.2">
      <c r="B21" s="57">
        <v>6</v>
      </c>
      <c r="C21" s="28" t="s">
        <v>68</v>
      </c>
      <c r="D21" s="60" t="s">
        <v>71</v>
      </c>
      <c r="E21" s="111" t="s">
        <v>72</v>
      </c>
      <c r="F21" s="111"/>
      <c r="G21" s="111"/>
      <c r="H21" s="106"/>
      <c r="I21" s="106"/>
    </row>
    <row r="22" spans="2:15" x14ac:dyDescent="0.2">
      <c r="B22" s="58"/>
      <c r="C22" s="97" t="s">
        <v>73</v>
      </c>
      <c r="D22" s="97"/>
      <c r="E22" s="63"/>
      <c r="F22" s="63"/>
      <c r="G22" s="63"/>
      <c r="H22" s="106"/>
      <c r="I22" s="106"/>
    </row>
    <row r="23" spans="2:15" ht="32.25" customHeight="1" x14ac:dyDescent="0.2">
      <c r="B23" s="58"/>
      <c r="C23" s="93" t="str">
        <f>IF(AND(NameplatekW&gt;=D60,NameplatekW&lt;D61),"Warning!",IF(NameplatekW&gt;=D61,"OK","Not Compliant"))</f>
        <v>OK</v>
      </c>
      <c r="D23" s="94" t="s">
        <v>15</v>
      </c>
      <c r="E23" s="109" t="str">
        <f>VLOOKUP(C23,Lookup!A1:B3,2,FALSE)</f>
        <v>System design meets minimum threshold for Passive Dispatch.</v>
      </c>
      <c r="F23" s="109"/>
      <c r="G23" s="109"/>
      <c r="H23" s="106"/>
      <c r="I23" s="106"/>
    </row>
    <row r="24" spans="2:15" x14ac:dyDescent="0.2">
      <c r="B24" s="26"/>
      <c r="C24" s="97" t="s">
        <v>16</v>
      </c>
      <c r="D24" s="97"/>
      <c r="E24" s="63"/>
      <c r="F24" s="63"/>
      <c r="G24" s="63"/>
      <c r="H24" s="106"/>
      <c r="I24" s="106"/>
    </row>
    <row r="25" spans="2:15" x14ac:dyDescent="0.2">
      <c r="B25" s="57">
        <v>7</v>
      </c>
      <c r="C25" s="41">
        <v>2.5000000000000001E-2</v>
      </c>
      <c r="D25" s="60" t="s">
        <v>74</v>
      </c>
      <c r="E25" s="111" t="s">
        <v>75</v>
      </c>
      <c r="F25" s="111"/>
      <c r="G25" s="111"/>
      <c r="H25" s="106"/>
      <c r="I25" s="106"/>
      <c r="M25" s="42"/>
    </row>
    <row r="26" spans="2:15" x14ac:dyDescent="0.2">
      <c r="B26" s="57">
        <v>8</v>
      </c>
      <c r="C26" s="43">
        <v>0.8</v>
      </c>
      <c r="D26" s="60" t="s">
        <v>19</v>
      </c>
      <c r="E26" s="111" t="s">
        <v>20</v>
      </c>
      <c r="F26" s="111"/>
      <c r="G26" s="111"/>
      <c r="H26" s="106"/>
      <c r="I26" s="106"/>
      <c r="M26" s="42"/>
    </row>
    <row r="27" spans="2:15" ht="12.75" customHeight="1" x14ac:dyDescent="0.2">
      <c r="B27" s="57">
        <v>9</v>
      </c>
      <c r="C27" s="43">
        <v>0.8</v>
      </c>
      <c r="D27" s="60" t="s">
        <v>76</v>
      </c>
      <c r="E27" s="113" t="s">
        <v>22</v>
      </c>
      <c r="F27" s="113"/>
      <c r="G27" s="113"/>
      <c r="H27" s="106"/>
      <c r="I27" s="106"/>
    </row>
    <row r="28" spans="2:15" x14ac:dyDescent="0.2">
      <c r="B28" s="57">
        <v>10</v>
      </c>
      <c r="C28" s="44">
        <v>2</v>
      </c>
      <c r="D28" s="60" t="s">
        <v>23</v>
      </c>
      <c r="E28" s="113" t="s">
        <v>77</v>
      </c>
      <c r="F28" s="113"/>
      <c r="G28" s="113"/>
      <c r="H28" s="106"/>
      <c r="I28" s="106"/>
    </row>
    <row r="29" spans="2:15" x14ac:dyDescent="0.2">
      <c r="C29" s="66"/>
      <c r="D29" s="66"/>
      <c r="E29" s="59"/>
      <c r="F29" s="59"/>
      <c r="G29" s="59"/>
      <c r="H29" s="106"/>
      <c r="I29" s="106"/>
    </row>
    <row r="30" spans="2:15" ht="30" customHeight="1" x14ac:dyDescent="0.2">
      <c r="C30" s="105" t="str">
        <f>CONCATENATE("Residential Battery System – ",$C$15," kW / ",$C$16," kWh")</f>
        <v>Residential Battery System – 10 kW / 30 kWh</v>
      </c>
      <c r="D30" s="105"/>
      <c r="E30" s="105"/>
      <c r="F30" s="105"/>
      <c r="G30" s="105"/>
      <c r="H30" s="106"/>
      <c r="I30" s="106"/>
      <c r="J30" s="45"/>
      <c r="M30" s="45"/>
      <c r="O30" s="46"/>
    </row>
    <row r="31" spans="2:15" ht="15.75" customHeight="1" x14ac:dyDescent="0.2">
      <c r="C31" s="67" t="s">
        <v>78</v>
      </c>
      <c r="D31" s="67"/>
      <c r="E31" s="110">
        <f>IF(C23="Not Compliant","Not Passive Compliant",MIN($G$32*$C$16,0.5*$C$17))</f>
        <v>7500</v>
      </c>
      <c r="F31" s="110"/>
      <c r="G31" s="110"/>
      <c r="H31" s="106"/>
      <c r="I31" s="106"/>
      <c r="M31" s="45"/>
      <c r="O31" s="46"/>
    </row>
    <row r="32" spans="2:15" x14ac:dyDescent="0.2">
      <c r="C32" s="112" t="s">
        <v>79</v>
      </c>
      <c r="D32" s="112"/>
      <c r="E32" s="112"/>
      <c r="F32" s="61"/>
      <c r="G32" s="68">
        <f>MAX(D57:D58)*D59</f>
        <v>250</v>
      </c>
      <c r="H32" s="106"/>
      <c r="I32" s="106"/>
    </row>
    <row r="33" spans="2:33" x14ac:dyDescent="0.2">
      <c r="C33" s="112" t="s">
        <v>26</v>
      </c>
      <c r="D33" s="112"/>
      <c r="E33" s="112"/>
      <c r="F33" s="61"/>
      <c r="G33" s="91" t="str">
        <f>IF(E31=16000.00001,"$16,000 cap",IF(E31=0.5*$C$17,"50% of total project cost","Rate * kWh"))</f>
        <v>Rate * kWh</v>
      </c>
      <c r="H33" s="106"/>
      <c r="I33" s="106"/>
    </row>
    <row r="34" spans="2:33" ht="20.25" x14ac:dyDescent="0.2">
      <c r="B34" s="26"/>
      <c r="C34" s="114" t="s">
        <v>80</v>
      </c>
      <c r="D34" s="114"/>
      <c r="E34" s="114"/>
      <c r="F34" s="110">
        <f>$I$49</f>
        <v>15503.25443309663</v>
      </c>
      <c r="G34" s="110"/>
      <c r="H34" s="106"/>
      <c r="I34" s="106"/>
    </row>
    <row r="35" spans="2:33" x14ac:dyDescent="0.2">
      <c r="C35" s="69" t="s">
        <v>28</v>
      </c>
      <c r="D35" s="69"/>
      <c r="E35" s="69"/>
      <c r="F35" s="61"/>
      <c r="G35" s="56" t="str">
        <f>$I$50</f>
        <v>Average kW</v>
      </c>
      <c r="H35" s="106"/>
      <c r="I35" s="106"/>
    </row>
    <row r="36" spans="2:33" x14ac:dyDescent="0.2">
      <c r="C36" s="66"/>
      <c r="D36" s="66"/>
      <c r="E36" s="66"/>
      <c r="F36" s="66"/>
      <c r="G36" s="70"/>
      <c r="H36" s="70"/>
      <c r="I36" s="66"/>
    </row>
    <row r="37" spans="2:33" ht="30" customHeight="1" x14ac:dyDescent="0.2">
      <c r="C37" s="105" t="s">
        <v>29</v>
      </c>
      <c r="D37" s="105"/>
      <c r="E37" s="105"/>
      <c r="F37" s="105"/>
      <c r="G37" s="105"/>
      <c r="H37" s="105"/>
      <c r="I37" s="105"/>
    </row>
    <row r="38" spans="2:33" x14ac:dyDescent="0.2">
      <c r="C38" s="71" t="s">
        <v>30</v>
      </c>
      <c r="D38" s="72" t="s">
        <v>31</v>
      </c>
      <c r="E38" s="72" t="s">
        <v>81</v>
      </c>
      <c r="F38" s="72" t="s">
        <v>32</v>
      </c>
      <c r="G38" s="72" t="s">
        <v>34</v>
      </c>
      <c r="H38" s="72" t="s">
        <v>35</v>
      </c>
      <c r="I38" s="72" t="s">
        <v>36</v>
      </c>
    </row>
    <row r="39" spans="2:33" x14ac:dyDescent="0.2">
      <c r="C39" s="73" t="s">
        <v>37</v>
      </c>
      <c r="D39" s="74">
        <f>C16</f>
        <v>30</v>
      </c>
      <c r="E39" s="74">
        <f>D39*$C$26</f>
        <v>24</v>
      </c>
      <c r="F39" s="54">
        <f t="shared" ref="F39:F48" si="0">MIN($C$15,(E39*$C$27)/$C$28)</f>
        <v>9.6000000000000014</v>
      </c>
      <c r="G39" s="36">
        <f>200*(MIN(F39,$C$15))</f>
        <v>1920.0000000000002</v>
      </c>
      <c r="H39" s="75">
        <f>25*(MIN(F39,$C$15))</f>
        <v>240.00000000000003</v>
      </c>
      <c r="I39" s="73">
        <f>SUM(G39:H39)</f>
        <v>2160.0000000000005</v>
      </c>
      <c r="K39" s="45"/>
      <c r="L39" s="48"/>
    </row>
    <row r="40" spans="2:33" s="26" customFormat="1" x14ac:dyDescent="0.2">
      <c r="B40" s="20"/>
      <c r="C40" s="76" t="s">
        <v>38</v>
      </c>
      <c r="D40" s="77">
        <f t="shared" ref="D40:D48" si="1">D39*(1-$C$25)</f>
        <v>29.25</v>
      </c>
      <c r="E40" s="77">
        <f t="shared" ref="E40:E48" si="2">D40*$C$26</f>
        <v>23.400000000000002</v>
      </c>
      <c r="F40" s="47">
        <f t="shared" si="0"/>
        <v>9.3600000000000012</v>
      </c>
      <c r="G40" s="35">
        <f>200*(MIN(F40,$C$15))</f>
        <v>1872.0000000000002</v>
      </c>
      <c r="H40" s="25">
        <f>25*(MIN(F40,$C$15))</f>
        <v>234.00000000000003</v>
      </c>
      <c r="I40" s="76">
        <f t="shared" ref="I40:I48" si="3">SUM(G40:H40)</f>
        <v>2106.0000000000005</v>
      </c>
      <c r="L40" s="48"/>
      <c r="O40" s="20"/>
      <c r="P40" s="20"/>
      <c r="Q40" s="20"/>
      <c r="R40" s="20"/>
      <c r="S40" s="20"/>
      <c r="T40" s="20"/>
      <c r="U40" s="20"/>
      <c r="V40" s="20"/>
      <c r="W40" s="20"/>
      <c r="X40" s="20"/>
      <c r="Y40" s="20"/>
      <c r="Z40" s="20"/>
      <c r="AA40" s="20"/>
      <c r="AB40" s="20"/>
      <c r="AC40" s="20"/>
      <c r="AD40" s="20"/>
      <c r="AE40" s="20"/>
      <c r="AF40" s="20"/>
      <c r="AG40" s="20"/>
    </row>
    <row r="41" spans="2:33" x14ac:dyDescent="0.2">
      <c r="C41" s="73" t="s">
        <v>39</v>
      </c>
      <c r="D41" s="74">
        <f t="shared" si="1"/>
        <v>28.518750000000001</v>
      </c>
      <c r="E41" s="74">
        <f t="shared" si="2"/>
        <v>22.815000000000001</v>
      </c>
      <c r="F41" s="54">
        <f t="shared" si="0"/>
        <v>9.1260000000000012</v>
      </c>
      <c r="G41" s="36">
        <f>200*(MIN(F41,$C$15))</f>
        <v>1825.2000000000003</v>
      </c>
      <c r="H41" s="75">
        <f>25*(MIN(F41,$C$15))</f>
        <v>228.15000000000003</v>
      </c>
      <c r="I41" s="73">
        <f t="shared" si="3"/>
        <v>2053.3500000000004</v>
      </c>
      <c r="L41" s="48"/>
    </row>
    <row r="42" spans="2:33" x14ac:dyDescent="0.2">
      <c r="C42" s="76" t="s">
        <v>40</v>
      </c>
      <c r="D42" s="77">
        <f t="shared" si="1"/>
        <v>27.805781249999999</v>
      </c>
      <c r="E42" s="77">
        <f t="shared" si="2"/>
        <v>22.244624999999999</v>
      </c>
      <c r="F42" s="47">
        <f t="shared" si="0"/>
        <v>8.89785</v>
      </c>
      <c r="G42" s="35">
        <f>200*(MIN(F42,$C$15))</f>
        <v>1779.57</v>
      </c>
      <c r="H42" s="25">
        <f>25*(MIN(F42,$C$15))</f>
        <v>222.44624999999999</v>
      </c>
      <c r="I42" s="76">
        <f t="shared" si="3"/>
        <v>2002.0162499999999</v>
      </c>
      <c r="L42" s="48"/>
    </row>
    <row r="43" spans="2:33" x14ac:dyDescent="0.2">
      <c r="C43" s="73" t="s">
        <v>41</v>
      </c>
      <c r="D43" s="74">
        <f t="shared" si="1"/>
        <v>27.110636718749998</v>
      </c>
      <c r="E43" s="74">
        <f t="shared" si="2"/>
        <v>21.688509374999999</v>
      </c>
      <c r="F43" s="54">
        <f t="shared" si="0"/>
        <v>8.6754037499999992</v>
      </c>
      <c r="G43" s="36">
        <f>200*(MIN(F43,$C$15))</f>
        <v>1735.0807499999999</v>
      </c>
      <c r="H43" s="75">
        <f>25*(MIN(F43,$C$15))</f>
        <v>216.88509374999998</v>
      </c>
      <c r="I43" s="73">
        <f t="shared" si="3"/>
        <v>1951.9658437499997</v>
      </c>
      <c r="L43" s="48"/>
    </row>
    <row r="44" spans="2:33" x14ac:dyDescent="0.2">
      <c r="C44" s="76" t="s">
        <v>42</v>
      </c>
      <c r="D44" s="77">
        <f t="shared" si="1"/>
        <v>26.432870800781249</v>
      </c>
      <c r="E44" s="77">
        <f t="shared" si="2"/>
        <v>21.146296640625</v>
      </c>
      <c r="F44" s="47">
        <f t="shared" si="0"/>
        <v>8.4585186562499999</v>
      </c>
      <c r="G44" s="35">
        <f>115*(MIN(F44,$C$15))</f>
        <v>972.72964546874994</v>
      </c>
      <c r="H44" s="25">
        <f>15*(MIN(F44,$C$15))</f>
        <v>126.87777984375001</v>
      </c>
      <c r="I44" s="76">
        <f t="shared" si="3"/>
        <v>1099.6074253125</v>
      </c>
      <c r="L44" s="48"/>
    </row>
    <row r="45" spans="2:33" x14ac:dyDescent="0.2">
      <c r="C45" s="73" t="s">
        <v>43</v>
      </c>
      <c r="D45" s="74">
        <f t="shared" si="1"/>
        <v>25.772049030761718</v>
      </c>
      <c r="E45" s="74">
        <f t="shared" si="2"/>
        <v>20.617639224609377</v>
      </c>
      <c r="F45" s="54">
        <f t="shared" si="0"/>
        <v>8.2470556898437515</v>
      </c>
      <c r="G45" s="36">
        <f>115*(MIN(F45,$C$15))</f>
        <v>948.41140433203145</v>
      </c>
      <c r="H45" s="75">
        <f>15*(MIN(F45,$C$15))</f>
        <v>123.70583534765628</v>
      </c>
      <c r="I45" s="73">
        <f t="shared" si="3"/>
        <v>1072.1172396796878</v>
      </c>
      <c r="L45" s="48"/>
    </row>
    <row r="46" spans="2:33" x14ac:dyDescent="0.2">
      <c r="C46" s="76" t="s">
        <v>44</v>
      </c>
      <c r="D46" s="77">
        <f t="shared" si="1"/>
        <v>25.127747804992673</v>
      </c>
      <c r="E46" s="77">
        <f t="shared" si="2"/>
        <v>20.102198243994138</v>
      </c>
      <c r="F46" s="47">
        <f t="shared" si="0"/>
        <v>8.0408792975976553</v>
      </c>
      <c r="G46" s="35">
        <f>115*(MIN(F46,$C$15))</f>
        <v>924.7011192237303</v>
      </c>
      <c r="H46" s="25">
        <f>15*(MIN(F46,$C$15))</f>
        <v>120.61318946396483</v>
      </c>
      <c r="I46" s="76">
        <f t="shared" si="3"/>
        <v>1045.3143086876951</v>
      </c>
      <c r="L46" s="48"/>
    </row>
    <row r="47" spans="2:33" x14ac:dyDescent="0.2">
      <c r="C47" s="73" t="s">
        <v>45</v>
      </c>
      <c r="D47" s="74">
        <f t="shared" si="1"/>
        <v>24.499554109867855</v>
      </c>
      <c r="E47" s="74">
        <f t="shared" si="2"/>
        <v>19.599643287894285</v>
      </c>
      <c r="F47" s="54">
        <f t="shared" si="0"/>
        <v>7.8398573151577144</v>
      </c>
      <c r="G47" s="36">
        <f>115*(MIN(F47,$C$15))</f>
        <v>901.58359124313711</v>
      </c>
      <c r="H47" s="75">
        <f>15*(MIN(F47,$C$15))</f>
        <v>117.59785972736572</v>
      </c>
      <c r="I47" s="73">
        <f t="shared" si="3"/>
        <v>1019.1814509705029</v>
      </c>
      <c r="L47" s="48"/>
    </row>
    <row r="48" spans="2:33" x14ac:dyDescent="0.2">
      <c r="C48" s="76" t="s">
        <v>46</v>
      </c>
      <c r="D48" s="77">
        <f t="shared" si="1"/>
        <v>23.887065257121158</v>
      </c>
      <c r="E48" s="77">
        <f t="shared" si="2"/>
        <v>19.109652205696928</v>
      </c>
      <c r="F48" s="47">
        <f t="shared" si="0"/>
        <v>7.6438608822787719</v>
      </c>
      <c r="G48" s="35">
        <f>115*(MIN(F48,$C$15))</f>
        <v>879.04400146205876</v>
      </c>
      <c r="H48" s="25">
        <f>15*(MIN(F48,$C$15))</f>
        <v>114.65791323418158</v>
      </c>
      <c r="I48" s="76">
        <f t="shared" si="3"/>
        <v>993.70191469624035</v>
      </c>
      <c r="L48" s="48"/>
    </row>
    <row r="49" spans="3:10" x14ac:dyDescent="0.2">
      <c r="C49" s="73" t="s">
        <v>36</v>
      </c>
      <c r="D49" s="61"/>
      <c r="E49" s="61"/>
      <c r="F49" s="61"/>
      <c r="G49" s="61"/>
      <c r="H49" s="73"/>
      <c r="I49" s="55">
        <f>SUM(I39:I48)</f>
        <v>15503.25443309663</v>
      </c>
      <c r="J49" s="26"/>
    </row>
    <row r="50" spans="3:10" x14ac:dyDescent="0.2">
      <c r="I50" s="78" t="str">
        <f>IF(G39=(C15*200),"Limited by inverter size","Average kW")</f>
        <v>Average kW</v>
      </c>
    </row>
    <row r="54" spans="3:10" x14ac:dyDescent="0.2">
      <c r="F54" s="79"/>
    </row>
    <row r="56" spans="3:10" x14ac:dyDescent="0.2">
      <c r="C56" s="102" t="s">
        <v>47</v>
      </c>
      <c r="D56" s="102"/>
    </row>
    <row r="57" spans="3:10" x14ac:dyDescent="0.2">
      <c r="C57" s="80" t="s">
        <v>82</v>
      </c>
      <c r="D57" s="50">
        <f>IF(C19="N/A",250,450)</f>
        <v>250</v>
      </c>
    </row>
    <row r="58" spans="3:10" x14ac:dyDescent="0.2">
      <c r="C58" s="80" t="s">
        <v>83</v>
      </c>
      <c r="D58" s="50">
        <f>IF(C20="Yes",600,D57)</f>
        <v>250</v>
      </c>
    </row>
    <row r="59" spans="3:10" x14ac:dyDescent="0.2">
      <c r="C59" s="80" t="s">
        <v>84</v>
      </c>
      <c r="D59" s="90">
        <f>IF(C21="Yes",1.5,1)</f>
        <v>1</v>
      </c>
    </row>
    <row r="60" spans="3:10" x14ac:dyDescent="0.2">
      <c r="C60" s="80" t="s">
        <v>171</v>
      </c>
      <c r="D60" s="52">
        <f>NameplatekWh*0.72/3</f>
        <v>7.1999999999999993</v>
      </c>
    </row>
    <row r="61" spans="3:10" x14ac:dyDescent="0.2">
      <c r="C61" s="80" t="s">
        <v>172</v>
      </c>
      <c r="D61" s="52">
        <f>NameplatekWh*0.8/3</f>
        <v>8</v>
      </c>
    </row>
  </sheetData>
  <sheetProtection sheet="1" objects="1" scenarios="1"/>
  <mergeCells count="24">
    <mergeCell ref="C11:G13"/>
    <mergeCell ref="C7:G9"/>
    <mergeCell ref="C6:G6"/>
    <mergeCell ref="C24:D24"/>
    <mergeCell ref="C18:D18"/>
    <mergeCell ref="C14:D14"/>
    <mergeCell ref="E23:G23"/>
    <mergeCell ref="E14:G14"/>
    <mergeCell ref="E31:G31"/>
    <mergeCell ref="C56:D56"/>
    <mergeCell ref="C22:D22"/>
    <mergeCell ref="E21:G21"/>
    <mergeCell ref="E20:G20"/>
    <mergeCell ref="C30:G30"/>
    <mergeCell ref="F34:G34"/>
    <mergeCell ref="C37:I37"/>
    <mergeCell ref="H11:I35"/>
    <mergeCell ref="C32:E32"/>
    <mergeCell ref="E27:G27"/>
    <mergeCell ref="E28:G28"/>
    <mergeCell ref="C33:E33"/>
    <mergeCell ref="C34:E34"/>
    <mergeCell ref="E25:G25"/>
    <mergeCell ref="E26:G26"/>
  </mergeCells>
  <phoneticPr fontId="5" type="noConversion"/>
  <conditionalFormatting sqref="C23">
    <cfRule type="cellIs" dxfId="6" priority="7" operator="equal">
      <formula>"OK"</formula>
    </cfRule>
    <cfRule type="cellIs" dxfId="5" priority="8" operator="equal">
      <formula>"Warning!"</formula>
    </cfRule>
    <cfRule type="cellIs" dxfId="4" priority="9" operator="equal">
      <formula>"Not Compliant"</formula>
    </cfRule>
  </conditionalFormatting>
  <conditionalFormatting sqref="E31">
    <cfRule type="containsText" dxfId="3" priority="11" operator="containsText" text="Not">
      <formula>NOT(ISERROR(SEARCH("Not",E31)))</formula>
    </cfRule>
  </conditionalFormatting>
  <conditionalFormatting sqref="E23:G23">
    <cfRule type="containsText" dxfId="2" priority="1" operator="containsText" text="not capable">
      <formula>NOT(ISERROR(SEARCH("not capable",E23)))</formula>
    </cfRule>
    <cfRule type="containsText" dxfId="1" priority="2" operator="containsText" text="100%">
      <formula>NOT(ISERROR(SEARCH("100%",E23)))</formula>
    </cfRule>
    <cfRule type="containsText" dxfId="0" priority="3" operator="containsText" text="Meets minimum threshold for Passive Dispatch.">
      <formula>NOT(ISERROR(SEARCH("Meets minimum threshold for Passive Dispatch.",E23)))</formula>
    </cfRule>
  </conditionalFormatting>
  <hyperlinks>
    <hyperlink ref="D19" r:id="rId1" xr:uid="{85FD1A7E-CE7C-4CB1-9B61-B30FE28F1D77}"/>
  </hyperlinks>
  <pageMargins left="0.7" right="0.7" top="0.75" bottom="0.75" header="0.3" footer="0.3"/>
  <pageSetup scale="62" orientation="landscape" r:id="rId2"/>
  <drawing r:id="rId3"/>
  <extLst>
    <ext xmlns:x14="http://schemas.microsoft.com/office/spreadsheetml/2009/9/main" uri="{CCE6A557-97BC-4b89-ADB6-D9C93CAAB3DF}">
      <x14:dataValidations xmlns:xm="http://schemas.microsoft.com/office/excel/2006/main" count="5">
        <x14:dataValidation type="list" allowBlank="1" showInputMessage="1" showErrorMessage="1" xr:uid="{12B553F2-5AF8-4C48-917C-82D96DA8928D}">
          <x14:formula1>
            <xm:f>Picklists!$B$2:$B$22</xm:f>
          </x14:formula1>
          <xm:sqref>C26:C27</xm:sqref>
        </x14:dataValidation>
        <x14:dataValidation type="list" allowBlank="1" showInputMessage="1" showErrorMessage="1" xr:uid="{A45D5741-DD5F-443D-A6B1-75845B3F13E3}">
          <x14:formula1>
            <xm:f>Picklists!$A$2:$A$3</xm:f>
          </x14:formula1>
          <xm:sqref>C20:C21</xm:sqref>
        </x14:dataValidation>
        <x14:dataValidation type="list" allowBlank="1" showInputMessage="1" showErrorMessage="1" xr:uid="{22EAB991-DD01-4AEC-AAC2-5F7E524CF863}">
          <x14:formula1>
            <xm:f>Picklists!$C$2:$C$22</xm:f>
          </x14:formula1>
          <xm:sqref>C25</xm:sqref>
        </x14:dataValidation>
        <x14:dataValidation type="list" errorStyle="information" allowBlank="1" showInputMessage="1" showErrorMessage="1" xr:uid="{4BF88DC3-E92E-4ACF-A945-69BFA52C02C9}">
          <x14:formula1>
            <xm:f>Picklists!$H$2:$H$36</xm:f>
          </x14:formula1>
          <xm:sqref>C19</xm:sqref>
        </x14:dataValidation>
        <x14:dataValidation type="list" allowBlank="1" showInputMessage="1" showErrorMessage="1" xr:uid="{93C43851-08B3-4BC3-8AF7-BC01DA0AE6E7}">
          <x14:formula1>
            <xm:f>Picklists!$J$2:$J$22</xm:f>
          </x14:formula1>
          <xm:sqref>C28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6A9F7-99A3-4947-AAEE-F10522B196D2}">
  <dimension ref="A1:B3"/>
  <sheetViews>
    <sheetView workbookViewId="0">
      <selection activeCell="B3" sqref="B3"/>
    </sheetView>
  </sheetViews>
  <sheetFormatPr defaultRowHeight="12.75" x14ac:dyDescent="0.2"/>
  <sheetData>
    <row r="1" spans="1:2" x14ac:dyDescent="0.2">
      <c r="A1" s="95" t="s">
        <v>168</v>
      </c>
      <c r="B1" s="95" t="s">
        <v>173</v>
      </c>
    </row>
    <row r="2" spans="1:2" x14ac:dyDescent="0.2">
      <c r="A2" s="95" t="s">
        <v>169</v>
      </c>
      <c r="B2" s="95" t="s">
        <v>175</v>
      </c>
    </row>
    <row r="3" spans="1:2" x14ac:dyDescent="0.2">
      <c r="A3" s="96" t="s">
        <v>170</v>
      </c>
      <c r="B3" s="95" t="s">
        <v>174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B882A-B421-4921-B91E-92AC6D4C421A}">
  <dimension ref="A1:Y39"/>
  <sheetViews>
    <sheetView topLeftCell="B6" workbookViewId="0">
      <selection activeCell="B4" sqref="B4"/>
    </sheetView>
  </sheetViews>
  <sheetFormatPr defaultRowHeight="12.75" x14ac:dyDescent="0.2"/>
  <cols>
    <col min="1" max="1" width="4.28515625" bestFit="1" customWidth="1"/>
    <col min="2" max="2" width="15.5703125" bestFit="1" customWidth="1"/>
    <col min="3" max="3" width="14.5703125" bestFit="1" customWidth="1"/>
    <col min="4" max="4" width="16.85546875" bestFit="1" customWidth="1"/>
    <col min="5" max="5" width="10.5703125" bestFit="1" customWidth="1"/>
    <col min="6" max="6" width="18.140625" bestFit="1" customWidth="1"/>
    <col min="7" max="7" width="11.140625" bestFit="1" customWidth="1"/>
    <col min="8" max="8" width="35.7109375" bestFit="1" customWidth="1"/>
    <col min="9" max="9" width="18.140625" bestFit="1" customWidth="1"/>
    <col min="12" max="12" width="18.28515625" customWidth="1"/>
    <col min="13" max="13" width="7" bestFit="1" customWidth="1"/>
    <col min="14" max="14" width="5.85546875" bestFit="1" customWidth="1"/>
    <col min="16" max="16" width="21" customWidth="1"/>
    <col min="17" max="17" width="18" bestFit="1" customWidth="1"/>
    <col min="18" max="18" width="19.7109375" bestFit="1" customWidth="1"/>
    <col min="19" max="19" width="11.42578125" bestFit="1" customWidth="1"/>
    <col min="22" max="22" width="15.28515625" bestFit="1" customWidth="1"/>
    <col min="24" max="24" width="10.42578125" customWidth="1"/>
  </cols>
  <sheetData>
    <row r="1" spans="1:25" s="2" customFormat="1" x14ac:dyDescent="0.2">
      <c r="A1" s="2" t="s">
        <v>85</v>
      </c>
      <c r="B1" s="2" t="s">
        <v>86</v>
      </c>
      <c r="C1" s="2" t="s">
        <v>87</v>
      </c>
      <c r="D1" s="2" t="s">
        <v>88</v>
      </c>
      <c r="E1" s="2" t="s">
        <v>89</v>
      </c>
      <c r="F1" s="2" t="s">
        <v>90</v>
      </c>
      <c r="G1" s="2" t="s">
        <v>91</v>
      </c>
      <c r="H1" s="2" t="s">
        <v>92</v>
      </c>
      <c r="I1" s="2" t="s">
        <v>93</v>
      </c>
      <c r="J1" s="2" t="s">
        <v>94</v>
      </c>
      <c r="V1" s="2" t="s">
        <v>49</v>
      </c>
      <c r="W1" s="2" t="s">
        <v>95</v>
      </c>
      <c r="X1" s="2" t="s">
        <v>96</v>
      </c>
      <c r="Y1" s="2" t="s">
        <v>97</v>
      </c>
    </row>
    <row r="2" spans="1:25" x14ac:dyDescent="0.2">
      <c r="A2" t="s">
        <v>98</v>
      </c>
      <c r="B2" s="1">
        <v>1</v>
      </c>
      <c r="C2" s="3">
        <v>0</v>
      </c>
      <c r="D2" t="s">
        <v>99</v>
      </c>
      <c r="E2" t="s">
        <v>100</v>
      </c>
      <c r="F2" t="s">
        <v>101</v>
      </c>
      <c r="G2" t="s">
        <v>102</v>
      </c>
      <c r="H2" t="s">
        <v>66</v>
      </c>
      <c r="I2" t="s">
        <v>101</v>
      </c>
      <c r="J2">
        <v>1</v>
      </c>
      <c r="V2" t="s">
        <v>99</v>
      </c>
      <c r="W2" s="19">
        <v>200</v>
      </c>
      <c r="X2" s="19">
        <v>175</v>
      </c>
      <c r="Y2" s="19">
        <v>100</v>
      </c>
    </row>
    <row r="3" spans="1:25" x14ac:dyDescent="0.2">
      <c r="A3" t="s">
        <v>68</v>
      </c>
      <c r="B3" s="1">
        <v>0.95</v>
      </c>
      <c r="C3" s="3">
        <v>5.0000000000000001E-3</v>
      </c>
      <c r="D3" s="3" t="s">
        <v>7</v>
      </c>
      <c r="E3" t="s">
        <v>103</v>
      </c>
      <c r="F3" t="s">
        <v>104</v>
      </c>
      <c r="G3" t="s">
        <v>82</v>
      </c>
      <c r="H3" t="s">
        <v>105</v>
      </c>
      <c r="I3" t="s">
        <v>11</v>
      </c>
      <c r="J3">
        <v>1.1000000000000001</v>
      </c>
      <c r="V3" t="s">
        <v>7</v>
      </c>
      <c r="W3" s="19">
        <v>182</v>
      </c>
      <c r="X3" s="19">
        <v>159.25</v>
      </c>
      <c r="Y3" s="19">
        <v>91</v>
      </c>
    </row>
    <row r="4" spans="1:25" ht="15.75" x14ac:dyDescent="0.25">
      <c r="B4" s="1">
        <v>0.9</v>
      </c>
      <c r="C4" s="3">
        <v>0.01</v>
      </c>
      <c r="D4" s="3" t="s">
        <v>106</v>
      </c>
      <c r="F4" t="s">
        <v>107</v>
      </c>
      <c r="G4" t="s">
        <v>83</v>
      </c>
      <c r="H4" t="s">
        <v>108</v>
      </c>
      <c r="I4" t="s">
        <v>104</v>
      </c>
      <c r="J4">
        <v>1.2</v>
      </c>
      <c r="L4" s="4" t="s">
        <v>109</v>
      </c>
      <c r="M4" s="4"/>
      <c r="N4" s="4"/>
      <c r="Q4" s="4" t="s">
        <v>110</v>
      </c>
      <c r="V4" t="s">
        <v>106</v>
      </c>
      <c r="W4" s="19">
        <v>164</v>
      </c>
      <c r="X4" s="19">
        <v>143.5</v>
      </c>
      <c r="Y4" s="19">
        <v>82</v>
      </c>
    </row>
    <row r="5" spans="1:25" ht="15.75" x14ac:dyDescent="0.25">
      <c r="B5" s="1">
        <v>0.85</v>
      </c>
      <c r="C5" s="3">
        <v>1.4999999999999999E-2</v>
      </c>
      <c r="D5" s="3" t="s">
        <v>111</v>
      </c>
      <c r="F5" t="s">
        <v>112</v>
      </c>
      <c r="G5" t="s">
        <v>113</v>
      </c>
      <c r="H5" t="s">
        <v>114</v>
      </c>
      <c r="I5" t="s">
        <v>107</v>
      </c>
      <c r="J5">
        <v>1.3</v>
      </c>
      <c r="L5" s="5" t="s">
        <v>115</v>
      </c>
      <c r="M5" s="5" t="s">
        <v>116</v>
      </c>
      <c r="N5" s="5" t="s">
        <v>117</v>
      </c>
      <c r="P5" s="6"/>
      <c r="Q5" s="5" t="s">
        <v>115</v>
      </c>
      <c r="R5" s="5" t="s">
        <v>118</v>
      </c>
      <c r="V5" t="s">
        <v>111</v>
      </c>
      <c r="W5" s="19">
        <v>146</v>
      </c>
      <c r="X5" s="19">
        <v>127.75</v>
      </c>
      <c r="Y5" s="19">
        <v>73</v>
      </c>
    </row>
    <row r="6" spans="1:25" ht="15" x14ac:dyDescent="0.2">
      <c r="B6" s="1">
        <v>0.8</v>
      </c>
      <c r="C6" s="3">
        <v>0.02</v>
      </c>
      <c r="D6" s="3"/>
      <c r="H6" t="s">
        <v>119</v>
      </c>
      <c r="I6" t="s">
        <v>112</v>
      </c>
      <c r="J6">
        <v>1.4</v>
      </c>
      <c r="L6" s="7" t="s">
        <v>105</v>
      </c>
      <c r="M6" s="8">
        <v>1311.6666666666667</v>
      </c>
      <c r="N6" s="9">
        <v>8</v>
      </c>
      <c r="Q6" s="10" t="s">
        <v>120</v>
      </c>
      <c r="R6" s="11">
        <v>45510</v>
      </c>
      <c r="S6" s="18" t="s">
        <v>121</v>
      </c>
    </row>
    <row r="7" spans="1:25" ht="15" x14ac:dyDescent="0.2">
      <c r="B7" s="1">
        <v>0.75</v>
      </c>
      <c r="C7" s="3">
        <v>2.5000000000000001E-2</v>
      </c>
      <c r="D7" s="3"/>
      <c r="H7" t="s">
        <v>122</v>
      </c>
      <c r="J7">
        <v>1.5</v>
      </c>
      <c r="L7" s="12" t="s">
        <v>108</v>
      </c>
      <c r="M7" s="13">
        <v>1283.3333333333333</v>
      </c>
      <c r="N7" s="14">
        <v>12</v>
      </c>
      <c r="Q7" s="10" t="s">
        <v>123</v>
      </c>
      <c r="R7" s="11">
        <v>45916</v>
      </c>
      <c r="S7" s="18" t="s">
        <v>124</v>
      </c>
    </row>
    <row r="8" spans="1:25" ht="15" x14ac:dyDescent="0.2">
      <c r="B8" s="1">
        <v>0.7</v>
      </c>
      <c r="C8" s="3">
        <v>0.03</v>
      </c>
      <c r="D8" s="3"/>
      <c r="H8" t="s">
        <v>125</v>
      </c>
      <c r="J8">
        <v>1.6</v>
      </c>
      <c r="L8" s="12" t="s">
        <v>119</v>
      </c>
      <c r="M8" s="13">
        <v>1188</v>
      </c>
      <c r="N8" s="14">
        <v>21</v>
      </c>
      <c r="Q8" s="10" t="s">
        <v>126</v>
      </c>
      <c r="R8" s="11">
        <v>45916</v>
      </c>
      <c r="S8" s="18" t="s">
        <v>124</v>
      </c>
    </row>
    <row r="9" spans="1:25" ht="15" x14ac:dyDescent="0.2">
      <c r="B9" s="1">
        <v>0.65</v>
      </c>
      <c r="C9" s="3">
        <v>3.5000000000000003E-2</v>
      </c>
      <c r="D9" s="3"/>
      <c r="H9" t="s">
        <v>127</v>
      </c>
      <c r="J9">
        <v>1.7</v>
      </c>
      <c r="L9" s="12" t="s">
        <v>122</v>
      </c>
      <c r="M9" s="13">
        <v>1299.3333333333333</v>
      </c>
      <c r="N9" s="14">
        <v>10</v>
      </c>
      <c r="Q9" s="10" t="s">
        <v>128</v>
      </c>
      <c r="R9" s="11">
        <v>46275</v>
      </c>
      <c r="S9" s="18" t="s">
        <v>129</v>
      </c>
    </row>
    <row r="10" spans="1:25" ht="15" x14ac:dyDescent="0.2">
      <c r="B10" s="1">
        <v>0.6</v>
      </c>
      <c r="C10" s="3">
        <v>0.04</v>
      </c>
      <c r="D10" s="3"/>
      <c r="H10" t="s">
        <v>130</v>
      </c>
      <c r="J10">
        <v>1.8</v>
      </c>
      <c r="L10" s="12" t="s">
        <v>125</v>
      </c>
      <c r="M10" s="13">
        <v>1318.3333333333333</v>
      </c>
      <c r="N10" s="14">
        <v>5</v>
      </c>
      <c r="Q10" s="10" t="s">
        <v>131</v>
      </c>
      <c r="R10" s="11">
        <v>46275</v>
      </c>
      <c r="S10" s="18" t="s">
        <v>129</v>
      </c>
    </row>
    <row r="11" spans="1:25" ht="15" x14ac:dyDescent="0.2">
      <c r="B11" s="1">
        <v>0.55000000000000004</v>
      </c>
      <c r="C11" s="3">
        <v>4.4999999999999998E-2</v>
      </c>
      <c r="D11" s="3"/>
      <c r="H11" t="s">
        <v>132</v>
      </c>
      <c r="J11">
        <v>1.9</v>
      </c>
      <c r="L11" s="12" t="s">
        <v>127</v>
      </c>
      <c r="M11" s="13">
        <v>1133.3333333333333</v>
      </c>
      <c r="N11" s="14">
        <v>25</v>
      </c>
      <c r="Q11" s="10" t="s">
        <v>133</v>
      </c>
      <c r="R11" s="11">
        <v>46663</v>
      </c>
      <c r="S11" s="18" t="s">
        <v>134</v>
      </c>
    </row>
    <row r="12" spans="1:25" ht="15" x14ac:dyDescent="0.2">
      <c r="B12" s="1">
        <v>0.5</v>
      </c>
      <c r="C12" s="3">
        <v>0.05</v>
      </c>
      <c r="D12" s="3"/>
      <c r="H12" t="s">
        <v>135</v>
      </c>
      <c r="J12">
        <v>2</v>
      </c>
      <c r="L12" s="12" t="s">
        <v>130</v>
      </c>
      <c r="M12" s="13">
        <v>1360</v>
      </c>
      <c r="N12" s="14">
        <v>2</v>
      </c>
      <c r="Q12" s="10" t="s">
        <v>136</v>
      </c>
      <c r="R12" s="11">
        <v>47030</v>
      </c>
      <c r="S12" s="18" t="s">
        <v>137</v>
      </c>
    </row>
    <row r="13" spans="1:25" ht="15" x14ac:dyDescent="0.2">
      <c r="B13" s="1">
        <v>0.45</v>
      </c>
      <c r="C13" s="3">
        <v>5.5E-2</v>
      </c>
      <c r="D13" s="3"/>
      <c r="H13" t="s">
        <v>138</v>
      </c>
      <c r="J13">
        <v>2.1</v>
      </c>
      <c r="L13" s="12" t="s">
        <v>135</v>
      </c>
      <c r="M13" s="13">
        <v>1348.3333333333333</v>
      </c>
      <c r="N13" s="14">
        <v>3</v>
      </c>
      <c r="Q13" s="10" t="s">
        <v>139</v>
      </c>
      <c r="R13" s="11">
        <v>47030</v>
      </c>
      <c r="S13" s="18" t="s">
        <v>137</v>
      </c>
    </row>
    <row r="14" spans="1:25" ht="15" x14ac:dyDescent="0.2">
      <c r="B14" s="1">
        <v>0.39999999999999902</v>
      </c>
      <c r="C14" s="3">
        <v>0.06</v>
      </c>
      <c r="D14" s="3"/>
      <c r="H14" t="s">
        <v>140</v>
      </c>
      <c r="J14">
        <v>2.2000000000000002</v>
      </c>
      <c r="L14" s="12" t="s">
        <v>140</v>
      </c>
      <c r="M14" s="13">
        <v>1202.3333333333335</v>
      </c>
      <c r="N14" s="14">
        <v>18</v>
      </c>
      <c r="Q14" s="10" t="s">
        <v>141</v>
      </c>
      <c r="R14" s="11">
        <v>47030</v>
      </c>
      <c r="S14" s="18" t="s">
        <v>137</v>
      </c>
    </row>
    <row r="15" spans="1:25" ht="15" x14ac:dyDescent="0.2">
      <c r="B15" s="1">
        <v>0.34999999999999898</v>
      </c>
      <c r="C15" s="3">
        <v>6.5000000000000002E-2</v>
      </c>
      <c r="D15" s="3"/>
      <c r="H15" t="s">
        <v>142</v>
      </c>
      <c r="J15">
        <v>2.2999999999999998</v>
      </c>
      <c r="L15" s="12" t="s">
        <v>142</v>
      </c>
      <c r="M15" s="13">
        <v>1229.6666666666665</v>
      </c>
      <c r="N15" s="14">
        <v>16</v>
      </c>
      <c r="Q15" s="10" t="s">
        <v>143</v>
      </c>
      <c r="R15" s="11">
        <v>47030</v>
      </c>
      <c r="S15" s="18" t="s">
        <v>137</v>
      </c>
    </row>
    <row r="16" spans="1:25" ht="15" x14ac:dyDescent="0.2">
      <c r="B16" s="1">
        <v>0.29999999999999899</v>
      </c>
      <c r="C16" s="3">
        <v>7.0000000000000007E-2</v>
      </c>
      <c r="D16" s="3"/>
      <c r="H16" t="s">
        <v>144</v>
      </c>
      <c r="J16">
        <v>2.4</v>
      </c>
      <c r="L16" s="12" t="s">
        <v>144</v>
      </c>
      <c r="M16" s="13">
        <v>1198</v>
      </c>
      <c r="N16" s="14">
        <v>20</v>
      </c>
    </row>
    <row r="17" spans="2:14" ht="15" x14ac:dyDescent="0.2">
      <c r="B17" s="1">
        <v>0.249999999999999</v>
      </c>
      <c r="C17" s="3">
        <v>7.4999999999999997E-2</v>
      </c>
      <c r="D17" s="3"/>
      <c r="H17" t="s">
        <v>145</v>
      </c>
      <c r="J17">
        <v>2.5</v>
      </c>
      <c r="L17" s="12" t="s">
        <v>145</v>
      </c>
      <c r="M17" s="13">
        <v>1182.6666666666667</v>
      </c>
      <c r="N17" s="14">
        <v>22</v>
      </c>
    </row>
    <row r="18" spans="2:14" ht="15" x14ac:dyDescent="0.2">
      <c r="B18" s="1">
        <v>0.19999999999999901</v>
      </c>
      <c r="C18" s="3">
        <v>0.08</v>
      </c>
      <c r="D18" s="3"/>
      <c r="H18" t="s">
        <v>146</v>
      </c>
      <c r="J18">
        <v>2.6</v>
      </c>
      <c r="L18" s="12" t="s">
        <v>147</v>
      </c>
      <c r="M18" s="13">
        <v>1269.3333333333333</v>
      </c>
      <c r="N18" s="14">
        <v>13</v>
      </c>
    </row>
    <row r="19" spans="2:14" ht="15" x14ac:dyDescent="0.2">
      <c r="B19" s="1">
        <v>0.149999999999999</v>
      </c>
      <c r="C19" s="3">
        <v>8.5000000000000006E-2</v>
      </c>
      <c r="D19" s="3"/>
      <c r="H19" t="s">
        <v>147</v>
      </c>
      <c r="J19">
        <v>2.7</v>
      </c>
      <c r="L19" s="12" t="s">
        <v>148</v>
      </c>
      <c r="M19" s="13">
        <v>1346.6666666666667</v>
      </c>
      <c r="N19" s="14">
        <v>4</v>
      </c>
    </row>
    <row r="20" spans="2:14" ht="15" x14ac:dyDescent="0.2">
      <c r="B20" s="1">
        <v>9.9999999999999006E-2</v>
      </c>
      <c r="C20" s="3">
        <v>0.09</v>
      </c>
      <c r="D20" s="3"/>
      <c r="H20" t="s">
        <v>149</v>
      </c>
      <c r="J20">
        <v>2.8</v>
      </c>
      <c r="L20" s="12" t="s">
        <v>150</v>
      </c>
      <c r="M20" s="13">
        <v>1313</v>
      </c>
      <c r="N20" s="14">
        <v>7</v>
      </c>
    </row>
    <row r="21" spans="2:14" ht="15" x14ac:dyDescent="0.2">
      <c r="B21" s="1">
        <v>4.9999999999998997E-2</v>
      </c>
      <c r="C21" s="3">
        <v>9.5000000000000001E-2</v>
      </c>
      <c r="D21" s="3"/>
      <c r="H21" t="s">
        <v>148</v>
      </c>
      <c r="J21">
        <v>2.9</v>
      </c>
      <c r="L21" s="12" t="s">
        <v>151</v>
      </c>
      <c r="M21" s="13">
        <v>1199</v>
      </c>
      <c r="N21" s="14">
        <v>19</v>
      </c>
    </row>
    <row r="22" spans="2:14" ht="15" x14ac:dyDescent="0.2">
      <c r="B22" s="1">
        <v>0</v>
      </c>
      <c r="C22" s="3">
        <v>0.1</v>
      </c>
      <c r="D22" s="3"/>
      <c r="H22" t="s">
        <v>152</v>
      </c>
      <c r="J22">
        <v>3</v>
      </c>
      <c r="L22" s="12" t="s">
        <v>153</v>
      </c>
      <c r="M22" s="13">
        <v>1251.6666666666667</v>
      </c>
      <c r="N22" s="14">
        <v>14</v>
      </c>
    </row>
    <row r="23" spans="2:14" ht="15" x14ac:dyDescent="0.2">
      <c r="H23" t="s">
        <v>150</v>
      </c>
      <c r="L23" s="12" t="s">
        <v>154</v>
      </c>
      <c r="M23" s="13">
        <v>1287.3333333333333</v>
      </c>
      <c r="N23" s="14">
        <v>11</v>
      </c>
    </row>
    <row r="24" spans="2:14" ht="15" x14ac:dyDescent="0.2">
      <c r="H24" t="s">
        <v>155</v>
      </c>
      <c r="L24" s="12" t="s">
        <v>156</v>
      </c>
      <c r="M24" s="13">
        <v>1246.3333333333333</v>
      </c>
      <c r="N24" s="14">
        <v>15</v>
      </c>
    </row>
    <row r="25" spans="2:14" ht="15" x14ac:dyDescent="0.2">
      <c r="H25" t="s">
        <v>151</v>
      </c>
      <c r="L25" s="12" t="s">
        <v>157</v>
      </c>
      <c r="M25" s="13">
        <v>1316.3333333333333</v>
      </c>
      <c r="N25" s="14">
        <v>6</v>
      </c>
    </row>
    <row r="26" spans="2:14" ht="15" x14ac:dyDescent="0.2">
      <c r="H26" t="s">
        <v>158</v>
      </c>
      <c r="L26" s="12" t="s">
        <v>159</v>
      </c>
      <c r="M26" s="13">
        <v>1170.3333333333333</v>
      </c>
      <c r="N26" s="14">
        <v>24</v>
      </c>
    </row>
    <row r="27" spans="2:14" ht="15" x14ac:dyDescent="0.2">
      <c r="H27" t="s">
        <v>153</v>
      </c>
      <c r="L27" s="12" t="s">
        <v>160</v>
      </c>
      <c r="M27" s="13">
        <v>1301.6666666666667</v>
      </c>
      <c r="N27" s="14">
        <v>9</v>
      </c>
    </row>
    <row r="28" spans="2:14" ht="15" x14ac:dyDescent="0.2">
      <c r="H28" t="s">
        <v>154</v>
      </c>
      <c r="L28" s="12" t="s">
        <v>161</v>
      </c>
      <c r="M28" s="13">
        <v>1180.3333333333333</v>
      </c>
      <c r="N28" s="14">
        <v>23</v>
      </c>
    </row>
    <row r="29" spans="2:14" ht="15" x14ac:dyDescent="0.2">
      <c r="H29" t="s">
        <v>156</v>
      </c>
      <c r="L29" s="12" t="s">
        <v>162</v>
      </c>
      <c r="M29" s="13">
        <v>1224</v>
      </c>
      <c r="N29" s="14">
        <v>17</v>
      </c>
    </row>
    <row r="30" spans="2:14" ht="15" x14ac:dyDescent="0.2">
      <c r="H30" t="s">
        <v>163</v>
      </c>
      <c r="L30" s="15" t="s">
        <v>164</v>
      </c>
      <c r="M30" s="16">
        <v>1454.3333333333333</v>
      </c>
      <c r="N30" s="17">
        <v>1</v>
      </c>
    </row>
    <row r="31" spans="2:14" x14ac:dyDescent="0.2">
      <c r="H31" t="s">
        <v>157</v>
      </c>
    </row>
    <row r="32" spans="2:14" x14ac:dyDescent="0.2">
      <c r="H32" t="s">
        <v>159</v>
      </c>
    </row>
    <row r="33" spans="8:8" x14ac:dyDescent="0.2">
      <c r="H33" t="s">
        <v>160</v>
      </c>
    </row>
    <row r="34" spans="8:8" x14ac:dyDescent="0.2">
      <c r="H34" t="s">
        <v>161</v>
      </c>
    </row>
    <row r="35" spans="8:8" x14ac:dyDescent="0.2">
      <c r="H35" t="s">
        <v>162</v>
      </c>
    </row>
    <row r="36" spans="8:8" x14ac:dyDescent="0.2">
      <c r="H36" t="s">
        <v>164</v>
      </c>
    </row>
    <row r="39" spans="8:8" x14ac:dyDescent="0.2">
      <c r="H39" t="s">
        <v>165</v>
      </c>
    </row>
  </sheetData>
  <sortState xmlns:xlrd2="http://schemas.microsoft.com/office/spreadsheetml/2017/richdata2" ref="H3:H37">
    <sortCondition ref="H3:H37"/>
  </sortState>
  <phoneticPr fontId="5" type="noConversion"/>
  <pageMargins left="0.7" right="0.7" top="0.75" bottom="0.75" header="0.3" footer="0.3"/>
  <pageSetup orientation="portrait" verticalDpi="1200" r:id="rId1"/>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8E48F674D6A6E4B968E3E1FAE1B9692" ma:contentTypeVersion="18" ma:contentTypeDescription="Create a new document." ma:contentTypeScope="" ma:versionID="ca70d90cb3e1a05e625558ecbc8c7918">
  <xsd:schema xmlns:xsd="http://www.w3.org/2001/XMLSchema" xmlns:xs="http://www.w3.org/2001/XMLSchema" xmlns:p="http://schemas.microsoft.com/office/2006/metadata/properties" xmlns:ns2="f2870893-db66-4aa3-85e9-3efb17b0b061" xmlns:ns3="1b30647e-2852-4824-8010-b226207861fa" targetNamespace="http://schemas.microsoft.com/office/2006/metadata/properties" ma:root="true" ma:fieldsID="b598d93aa413354d1cd50c492a733296" ns2:_="" ns3:_="">
    <xsd:import namespace="f2870893-db66-4aa3-85e9-3efb17b0b061"/>
    <xsd:import namespace="1b30647e-2852-4824-8010-b226207861f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870893-db66-4aa3-85e9-3efb17b0b0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8b8dfaa-981b-4fef-ae8f-77207eb7bc50"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b30647e-2852-4824-8010-b226207861f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6cdface4-0c15-4f14-bd0b-80d2248220b1}" ma:internalName="TaxCatchAll" ma:showField="CatchAllData" ma:web="1b30647e-2852-4824-8010-b226207861f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b30647e-2852-4824-8010-b226207861fa" xsi:nil="true"/>
    <lcf76f155ced4ddcb4097134ff3c332f xmlns="f2870893-db66-4aa3-85e9-3efb17b0b061">
      <Terms xmlns="http://schemas.microsoft.com/office/infopath/2007/PartnerControls"/>
    </lcf76f155ced4ddcb4097134ff3c332f>
    <SharedWithUsers xmlns="1b30647e-2852-4824-8010-b226207861fa">
      <UserInfo>
        <DisplayName>Lawrence Taylor</DisplayName>
        <AccountId>678</AccountId>
        <AccountType/>
      </UserInfo>
    </SharedWithUsers>
  </documentManagement>
</p:properties>
</file>

<file path=customXml/itemProps1.xml><?xml version="1.0" encoding="utf-8"?>
<ds:datastoreItem xmlns:ds="http://schemas.openxmlformats.org/officeDocument/2006/customXml" ds:itemID="{57E3B955-B890-47E8-8D4A-F906CCA102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870893-db66-4aa3-85e9-3efb17b0b061"/>
    <ds:schemaRef ds:uri="1b30647e-2852-4824-8010-b226207861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C42BB1A-93CC-4756-B0EB-3B6FEEB971BD}">
  <ds:schemaRefs>
    <ds:schemaRef ds:uri="http://schemas.microsoft.com/sharepoint/v3/contenttype/forms"/>
  </ds:schemaRefs>
</ds:datastoreItem>
</file>

<file path=customXml/itemProps3.xml><?xml version="1.0" encoding="utf-8"?>
<ds:datastoreItem xmlns:ds="http://schemas.openxmlformats.org/officeDocument/2006/customXml" ds:itemID="{B9125236-DAD6-4A46-9C35-A44050F52141}">
  <ds:schemaRefs>
    <ds:schemaRef ds:uri="http://schemas.openxmlformats.org/package/2006/metadata/core-properties"/>
    <ds:schemaRef ds:uri="http://purl.org/dc/elements/1.1/"/>
    <ds:schemaRef ds:uri="http://purl.org/dc/terms/"/>
    <ds:schemaRef ds:uri="f2870893-db66-4aa3-85e9-3efb17b0b061"/>
    <ds:schemaRef ds:uri="http://www.w3.org/XML/1998/namespace"/>
    <ds:schemaRef ds:uri="http://purl.org/dc/dcmitype/"/>
    <ds:schemaRef ds:uri="http://schemas.microsoft.com/office/2006/documentManagement/types"/>
    <ds:schemaRef ds:uri="http://schemas.microsoft.com/office/infopath/2007/PartnerControls"/>
    <ds:schemaRef ds:uri="1b30647e-2852-4824-8010-b226207861fa"/>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22</vt:i4>
      </vt:variant>
    </vt:vector>
  </HeadingPairs>
  <TitlesOfParts>
    <vt:vector size="26" baseType="lpstr">
      <vt:lpstr>C&amp;I Tranche 3 (2025)</vt:lpstr>
      <vt:lpstr>Residential 1-4 Family (2025)</vt:lpstr>
      <vt:lpstr>Lookup</vt:lpstr>
      <vt:lpstr>Picklists</vt:lpstr>
      <vt:lpstr>Annual_Average_Demand_kW</vt:lpstr>
      <vt:lpstr>Customer_Class</vt:lpstr>
      <vt:lpstr>EventDuration</vt:lpstr>
      <vt:lpstr>InvDemandRatio</vt:lpstr>
      <vt:lpstr>kWh_kW_Ratio</vt:lpstr>
      <vt:lpstr>Large_Tier</vt:lpstr>
      <vt:lpstr>LargeTierRate</vt:lpstr>
      <vt:lpstr>Medium_Tier</vt:lpstr>
      <vt:lpstr>MedTierRate</vt:lpstr>
      <vt:lpstr>Nameplate_Capacity_kWh</vt:lpstr>
      <vt:lpstr>Nameplate_Energy_Capacity_kW</vt:lpstr>
      <vt:lpstr>Nameplate_Energy_Capacity_kWH</vt:lpstr>
      <vt:lpstr>Nameplate_Energy_kWh</vt:lpstr>
      <vt:lpstr>Nameplate_kWh_CI</vt:lpstr>
      <vt:lpstr>Nameplate_Power_kW</vt:lpstr>
      <vt:lpstr>NameplatekW</vt:lpstr>
      <vt:lpstr>NameplatekWh</vt:lpstr>
      <vt:lpstr>Small_Tier</vt:lpstr>
      <vt:lpstr>SmallTierRate</vt:lpstr>
      <vt:lpstr>StepSelector</vt:lpstr>
      <vt:lpstr>T3Steps</vt:lpstr>
      <vt:lpstr>Total_System_Cost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P. Kranich</dc:creator>
  <cp:keywords/>
  <dc:description/>
  <cp:lastModifiedBy>Edward P. Kranich</cp:lastModifiedBy>
  <cp:revision/>
  <cp:lastPrinted>2025-05-15T15:40:28Z</cp:lastPrinted>
  <dcterms:created xsi:type="dcterms:W3CDTF">2023-03-22T14:36:35Z</dcterms:created>
  <dcterms:modified xsi:type="dcterms:W3CDTF">2025-05-15T17:17:48Z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0x01010048E48F674D6A6E4B968E3E1FAE1B9692</vt:lpwstr>
  </property>
</Properties>
</file>