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tgreenbank-my.sharepoint.com/personal/ekranich_ctgreenbank_com/Documents/Desktop/"/>
    </mc:Choice>
  </mc:AlternateContent>
  <xr:revisionPtr revIDLastSave="4" documentId="8_{36B071A0-2636-4968-A127-90757F3070DC}" xr6:coauthVersionLast="47" xr6:coauthVersionMax="47" xr10:uidLastSave="{6303FB57-81A6-409B-A9ED-B23F76D0636C}"/>
  <bookViews>
    <workbookView xWindow="-120" yWindow="-16320" windowWidth="29040" windowHeight="15720" xr2:uid="{B621F628-A0EE-4389-BE09-110FB7A6C655}"/>
  </bookViews>
  <sheets>
    <sheet name="C&amp;I Tranche 3 (2025)" sheetId="8" r:id="rId1"/>
    <sheet name="Residential 1-4 Family (2025)" sheetId="1" r:id="rId2"/>
    <sheet name="Change Log" sheetId="10" r:id="rId3"/>
    <sheet name="Lookup" sheetId="9" state="hidden" r:id="rId4"/>
    <sheet name="Picklists" sheetId="4" state="hidden" r:id="rId5"/>
  </sheets>
  <definedNames>
    <definedName name="Annual_Average_Demand_kW">'C&amp;I Tranche 3 (2025)'!$C$15</definedName>
    <definedName name="Customer_Class">'C&amp;I Tranche 3 (2025)'!$D$47</definedName>
    <definedName name="EventDuration">'C&amp;I Tranche 3 (2025)'!$C$24</definedName>
    <definedName name="InvDemandRatio">'C&amp;I Tranche 3 (2025)'!$D$52</definedName>
    <definedName name="kWh_kW_Ratio">'C&amp;I Tranche 3 (2025)'!$D$53</definedName>
    <definedName name="Large_Tier">'C&amp;I Tranche 3 (2025)'!$D$56</definedName>
    <definedName name="LargeTierRate">'C&amp;I Tranche 3 (2025)'!$D$51</definedName>
    <definedName name="Medium_Tier">'C&amp;I Tranche 3 (2025)'!$D$55</definedName>
    <definedName name="MedTierRate">'C&amp;I Tranche 3 (2025)'!$D$50</definedName>
    <definedName name="Nameplate_Capacity_kWh">'C&amp;I Tranche 3 (2025)'!$C$11</definedName>
    <definedName name="Nameplate_Energy_Capacity_kW">'C&amp;I Tranche 3 (2025)'!$C$11</definedName>
    <definedName name="Nameplate_Energy_Capacity_kWH">'C&amp;I Tranche 3 (2025)'!$C$11</definedName>
    <definedName name="Nameplate_Energy_kWh">'C&amp;I Tranche 3 (2025)'!$C$11</definedName>
    <definedName name="Nameplate_kWh_CI">'C&amp;I Tranche 3 (2025)'!$C$11</definedName>
    <definedName name="Nameplate_Power_kW">'C&amp;I Tranche 3 (2025)'!$C$10</definedName>
    <definedName name="NameplatekW">'Residential 1-4 Family (2025)'!$C$15</definedName>
    <definedName name="NameplatekWh">'Residential 1-4 Family (2025)'!$C$16</definedName>
    <definedName name="_xlnm.Print_Area" localSheetId="0">'C&amp;I Tranche 3 (2025)'!$C$1:$I$62</definedName>
    <definedName name="Small_Tier">'C&amp;I Tranche 3 (2025)'!$D$54</definedName>
    <definedName name="SmallTierRate">'C&amp;I Tranche 3 (2025)'!$D$49</definedName>
    <definedName name="StepSelector">'C&amp;I Tranche 3 (2025)'!$C$13</definedName>
    <definedName name="T3Steps">Picklists!$V$1:$Y$5</definedName>
    <definedName name="Total_System_Cost">'C&amp;I Tranche 3 (2025)'!$C$12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1" l="1"/>
  <c r="D59" i="1" s="1"/>
  <c r="D60" i="1" s="1"/>
  <c r="D63" i="1"/>
  <c r="D62" i="1"/>
  <c r="D62" i="8"/>
  <c r="D61" i="8"/>
  <c r="D58" i="8"/>
  <c r="D59" i="8"/>
  <c r="E16" i="8"/>
  <c r="E15" i="8"/>
  <c r="C18" i="8"/>
  <c r="C26" i="8"/>
  <c r="C6" i="8"/>
  <c r="D51" i="8"/>
  <c r="D50" i="8"/>
  <c r="D49" i="8"/>
  <c r="D48" i="8"/>
  <c r="F37" i="8"/>
  <c r="F34" i="8"/>
  <c r="F35" i="8"/>
  <c r="F36" i="8"/>
  <c r="F38" i="8"/>
  <c r="F39" i="8"/>
  <c r="F40" i="8"/>
  <c r="F41" i="8"/>
  <c r="F42" i="8"/>
  <c r="F43" i="8"/>
  <c r="D53" i="8"/>
  <c r="D52" i="8"/>
  <c r="D47" i="8"/>
  <c r="C24" i="1" l="1"/>
  <c r="C19" i="8"/>
  <c r="E19" i="8" s="1"/>
  <c r="E18" i="8"/>
  <c r="D55" i="8"/>
  <c r="D54" i="8"/>
  <c r="E24" i="1" l="1"/>
  <c r="D56" i="8"/>
  <c r="D57" i="8" s="1"/>
  <c r="C11" i="1"/>
  <c r="C31" i="1"/>
  <c r="D61" i="1"/>
  <c r="D34" i="8"/>
  <c r="E34" i="8" s="1"/>
  <c r="D40" i="1"/>
  <c r="E40" i="1" s="1"/>
  <c r="F40" i="1" s="1"/>
  <c r="G33" i="1" l="1"/>
  <c r="E32" i="1" s="1"/>
  <c r="G34" i="1" s="1"/>
  <c r="D60" i="8"/>
  <c r="E27" i="8" s="1"/>
  <c r="D41" i="1"/>
  <c r="E41" i="1" s="1"/>
  <c r="F41" i="1" s="1"/>
  <c r="D35" i="8"/>
  <c r="E35" i="8" s="1"/>
  <c r="D42" i="1" l="1"/>
  <c r="E42" i="1" s="1"/>
  <c r="F42" i="1" s="1"/>
  <c r="G41" i="1"/>
  <c r="D36" i="8"/>
  <c r="E36" i="8" s="1"/>
  <c r="H35" i="8"/>
  <c r="G35" i="8"/>
  <c r="H34" i="8"/>
  <c r="G34" i="8"/>
  <c r="I45" i="8" s="1"/>
  <c r="H40" i="1"/>
  <c r="G40" i="1"/>
  <c r="D43" i="1"/>
  <c r="E43" i="1" s="1"/>
  <c r="F43" i="1" s="1"/>
  <c r="H42" i="1" l="1"/>
  <c r="H41" i="1"/>
  <c r="D37" i="8"/>
  <c r="E37" i="8" s="1"/>
  <c r="I51" i="1"/>
  <c r="G36" i="1" s="1"/>
  <c r="G28" i="8"/>
  <c r="I40" i="1"/>
  <c r="G42" i="1"/>
  <c r="D44" i="1"/>
  <c r="E44" i="1" s="1"/>
  <c r="F44" i="1" s="1"/>
  <c r="H36" i="8" l="1"/>
  <c r="G36" i="8"/>
  <c r="D38" i="8"/>
  <c r="E38" i="8" s="1"/>
  <c r="G43" i="1"/>
  <c r="H43" i="1"/>
  <c r="D45" i="1"/>
  <c r="E45" i="1" s="1"/>
  <c r="F45" i="1" s="1"/>
  <c r="I41" i="1"/>
  <c r="H37" i="8" l="1"/>
  <c r="G37" i="8"/>
  <c r="D39" i="8"/>
  <c r="E39" i="8" s="1"/>
  <c r="G45" i="1"/>
  <c r="I43" i="1"/>
  <c r="D46" i="1"/>
  <c r="E46" i="1" s="1"/>
  <c r="F46" i="1" s="1"/>
  <c r="H44" i="1"/>
  <c r="G44" i="1"/>
  <c r="I42" i="1"/>
  <c r="G38" i="8" l="1"/>
  <c r="H38" i="8"/>
  <c r="D40" i="8"/>
  <c r="E40" i="8" s="1"/>
  <c r="G46" i="1"/>
  <c r="I44" i="1"/>
  <c r="H45" i="1"/>
  <c r="D47" i="1"/>
  <c r="E47" i="1" s="1"/>
  <c r="F47" i="1" s="1"/>
  <c r="D41" i="8" l="1"/>
  <c r="E41" i="8" s="1"/>
  <c r="G39" i="8"/>
  <c r="H39" i="8"/>
  <c r="G47" i="1"/>
  <c r="I45" i="1"/>
  <c r="D48" i="1"/>
  <c r="E48" i="1" s="1"/>
  <c r="F48" i="1" s="1"/>
  <c r="H46" i="1"/>
  <c r="G40" i="8" l="1"/>
  <c r="H40" i="8"/>
  <c r="D42" i="8"/>
  <c r="E42" i="8" s="1"/>
  <c r="G48" i="1"/>
  <c r="I46" i="1"/>
  <c r="H47" i="1"/>
  <c r="D49" i="1"/>
  <c r="E49" i="1" l="1"/>
  <c r="F49" i="1" s="1"/>
  <c r="G41" i="8"/>
  <c r="H41" i="8"/>
  <c r="D43" i="8"/>
  <c r="E43" i="8" s="1"/>
  <c r="I47" i="1"/>
  <c r="H48" i="1"/>
  <c r="H49" i="1" l="1"/>
  <c r="G49" i="1"/>
  <c r="G42" i="8"/>
  <c r="H42" i="8"/>
  <c r="H43" i="8"/>
  <c r="I48" i="1"/>
  <c r="I49" i="1" l="1"/>
  <c r="I50" i="1" s="1"/>
  <c r="G43" i="8"/>
  <c r="F35" i="1" l="1"/>
  <c r="I34" i="8"/>
  <c r="I36" i="8"/>
  <c r="I42" i="8"/>
  <c r="I37" i="8"/>
  <c r="I41" i="8"/>
  <c r="I38" i="8"/>
  <c r="I35" i="8"/>
  <c r="I40" i="8"/>
  <c r="I43" i="8"/>
  <c r="I39" i="8"/>
  <c r="I44" i="8" l="1"/>
  <c r="F29" i="8" l="1"/>
  <c r="F30" i="8"/>
</calcChain>
</file>

<file path=xl/sharedStrings.xml><?xml version="1.0" encoding="utf-8"?>
<sst xmlns="http://schemas.openxmlformats.org/spreadsheetml/2006/main" count="230" uniqueCount="171">
  <si>
    <r>
      <rPr>
        <b/>
        <i/>
        <sz val="10"/>
        <rFont val="Arial Nova"/>
        <family val="2"/>
      </rPr>
      <t>INSTRUCTIONS:</t>
    </r>
    <r>
      <rPr>
        <i/>
        <sz val="10"/>
        <rFont val="Arial Nova"/>
        <family val="2"/>
      </rPr>
      <t xml:space="preserve"> Complete the orange shaded fields 1-6. Optionally, edit the values in fields 7-10.</t>
    </r>
  </si>
  <si>
    <r>
      <rPr>
        <b/>
        <sz val="10"/>
        <rFont val="Arial Nova"/>
        <family val="2"/>
      </rPr>
      <t>Note</t>
    </r>
    <r>
      <rPr>
        <sz val="10"/>
        <rFont val="Arial Nova"/>
        <family val="2"/>
      </rPr>
      <t xml:space="preserve">: This calculator is intended to be used as an </t>
    </r>
    <r>
      <rPr>
        <u/>
        <sz val="10"/>
        <rFont val="Arial Nova"/>
        <family val="2"/>
      </rPr>
      <t>estimation tool only</t>
    </r>
    <r>
      <rPr>
        <sz val="10"/>
        <rFont val="Arial Nova"/>
        <family val="2"/>
      </rPr>
      <t xml:space="preserve">. Final Upfront Incentive approval is subject to review in a complete Application by Program Administrators.
Systems that do not comply with the requirements of Passive Dispatch may be subject to an Upfront Incentive Clawback. Please refer to the current Program Manual, available at www.energystorageCT.com/contractor-resources. 
</t>
    </r>
    <r>
      <rPr>
        <b/>
        <sz val="10"/>
        <rFont val="Arial Nova"/>
        <family val="2"/>
      </rPr>
      <t>Performance Incentives</t>
    </r>
    <r>
      <rPr>
        <sz val="10"/>
        <rFont val="Arial Nova"/>
        <family val="2"/>
      </rPr>
      <t xml:space="preserve"> paid for Active Dispatch can vary significantly based on battery degradation, discharge limitations set by the manufacturer or operator, customer participation and opt-out, weather events, and system design.</t>
    </r>
  </si>
  <si>
    <t>Battery System Inputs</t>
  </si>
  <si>
    <t>Notes</t>
  </si>
  <si>
    <t>kW (Total BESS Nameplate Continuous Power)</t>
  </si>
  <si>
    <t>kWh (Total BESS Nameplate Energy Capacity)</t>
  </si>
  <si>
    <t>Total BESS Cost</t>
  </si>
  <si>
    <t>Tranche 3 Step 1</t>
  </si>
  <si>
    <t>Incentive Step</t>
  </si>
  <si>
    <t>Customer Class Inputs</t>
  </si>
  <si>
    <t>Annual Peak Demand (kW)</t>
  </si>
  <si>
    <t>Small Business</t>
  </si>
  <si>
    <t>Priority Customer Adder</t>
  </si>
  <si>
    <t>Compliance Checks</t>
  </si>
  <si>
    <t>1.5x / 2 MW Incentive Cap Check</t>
  </si>
  <si>
    <t>Passive Compliance Check</t>
  </si>
  <si>
    <t>Active Dispatch Inputs</t>
  </si>
  <si>
    <t>Annual Energy Capacity Degradation Rate</t>
  </si>
  <si>
    <t>Default value 2.5%, varies by manufacturer.</t>
  </si>
  <si>
    <t>Maximum Depth of Discharge</t>
  </si>
  <si>
    <t>Default value 80%, varies by manufacturer. Ex: if a 20% reserve is required, select 80%.</t>
  </si>
  <si>
    <t>Participation</t>
  </si>
  <si>
    <t>Default value 75%, varies based on weather, recharge rate, and customer opt-out per-event.</t>
  </si>
  <si>
    <t>Average Active Event Duration (hours)</t>
  </si>
  <si>
    <t>Default value 2.5 hours based on Summer 2024 average.</t>
  </si>
  <si>
    <t>Your Estimated Upfront Incentive (Tiered)</t>
  </si>
  <si>
    <t>Upfront Incentive Calculation Method</t>
  </si>
  <si>
    <t>Your Estimated 10-Year Performance Incentive Total (Nominal)</t>
  </si>
  <si>
    <t>PBI Estimation Method</t>
  </si>
  <si>
    <t>10 Year Active Dispatch Performance Incentive Estimate</t>
  </si>
  <si>
    <t>Year</t>
  </si>
  <si>
    <t>Max Battery Capacity (kWh)</t>
  </si>
  <si>
    <t>Average kW</t>
  </si>
  <si>
    <t>Inverter Output</t>
  </si>
  <si>
    <t>Summer</t>
  </si>
  <si>
    <t>Winter</t>
  </si>
  <si>
    <t>Total</t>
  </si>
  <si>
    <t>Year 1</t>
  </si>
  <si>
    <t>Year 2</t>
  </si>
  <si>
    <t>Year 3</t>
  </si>
  <si>
    <t>Year 4</t>
  </si>
  <si>
    <t>Year 5</t>
  </si>
  <si>
    <t>Year 6</t>
  </si>
  <si>
    <t>Year 7</t>
  </si>
  <si>
    <t>Year 8</t>
  </si>
  <si>
    <t>Year 9</t>
  </si>
  <si>
    <t>Year 10</t>
  </si>
  <si>
    <t>Upfront Incentive Working Calculations</t>
  </si>
  <si>
    <t>Customer Class</t>
  </si>
  <si>
    <t>Step</t>
  </si>
  <si>
    <t>Small Tier Rate</t>
  </si>
  <si>
    <t>Medium Tier Rate</t>
  </si>
  <si>
    <t>Large Tier Rate</t>
  </si>
  <si>
    <t>Inverter to Demand Ratio</t>
  </si>
  <si>
    <t>kWh/kW Ratio</t>
  </si>
  <si>
    <t>Small Tier kWh</t>
  </si>
  <si>
    <t>Medium Tier kWh</t>
  </si>
  <si>
    <t>Large Tier kWh</t>
  </si>
  <si>
    <t>kWh Check</t>
  </si>
  <si>
    <t>Multiplier</t>
  </si>
  <si>
    <t>50% of Cost</t>
  </si>
  <si>
    <t>Upfront Incentive</t>
  </si>
  <si>
    <t>Residential Incentive Estimate Calculator</t>
  </si>
  <si>
    <r>
      <rPr>
        <b/>
        <sz val="10"/>
        <rFont val="Arial Nova"/>
        <family val="2"/>
      </rPr>
      <t>Note</t>
    </r>
    <r>
      <rPr>
        <sz val="10"/>
        <rFont val="Arial Nova"/>
        <family val="2"/>
      </rPr>
      <t xml:space="preserve">: This calculator is intended to be used as an </t>
    </r>
    <r>
      <rPr>
        <u/>
        <sz val="10"/>
        <rFont val="Arial Nova"/>
        <family val="2"/>
      </rPr>
      <t>estimation tool only</t>
    </r>
    <r>
      <rPr>
        <sz val="10"/>
        <rFont val="Arial Nova"/>
        <family val="2"/>
      </rPr>
      <t xml:space="preserve">. Final Upfront Incentive approval is subject to review in a complete application by Program Administrators.
Systems that do not comply with the requirements of Passive Dispatch may be subject to an Upfront Incentive Clawback. Please refer to the current Program Manual, available at www.energystorageCT.com/contractor-resources. 
</t>
    </r>
    <r>
      <rPr>
        <b/>
        <sz val="10"/>
        <rFont val="Arial Nova"/>
        <family val="2"/>
      </rPr>
      <t>Performance Incentives</t>
    </r>
    <r>
      <rPr>
        <sz val="10"/>
        <rFont val="Arial Nova"/>
        <family val="2"/>
      </rPr>
      <t xml:space="preserve"> paid for Active Dispatch can vary significantly based on battery degradation, discharge limitations set by the manufacturer or operator, customer participation and opt-out, weather events, and system design.</t>
    </r>
  </si>
  <si>
    <t>Total BESS Cost (Not including solar PV)</t>
  </si>
  <si>
    <t>N/A</t>
  </si>
  <si>
    <t>Underserved Community?</t>
  </si>
  <si>
    <t>No</t>
  </si>
  <si>
    <t>Low Income?</t>
  </si>
  <si>
    <t>Low Income adder is not stackable with Underserved Community adder.</t>
  </si>
  <si>
    <t>Grid-Edge?</t>
  </si>
  <si>
    <t>Grid-Edge adder can apply to any type of customer.</t>
  </si>
  <si>
    <t>Compliance Check</t>
  </si>
  <si>
    <t>Annual Degradation of Battery Capacity</t>
  </si>
  <si>
    <t>Default value 2.5%, varies by manufacturer and chemistry type.</t>
  </si>
  <si>
    <t>Average Active Event Participation Rate</t>
  </si>
  <si>
    <t>Default value 2.5 hours based on historical average.</t>
  </si>
  <si>
    <t>Your Estimated Upfront Incentive</t>
  </si>
  <si>
    <t>Upfront Incentive Rate ($ per kWh)</t>
  </si>
  <si>
    <t>Your Estimated 10-Year Performance Incentive Total</t>
  </si>
  <si>
    <t>Max Available Capacity (kWh)</t>
  </si>
  <si>
    <t>Underserved</t>
  </si>
  <si>
    <t>Low-Income</t>
  </si>
  <si>
    <t>Grid Edge</t>
  </si>
  <si>
    <t>Y/N</t>
  </si>
  <si>
    <t>PARTICIPATION</t>
  </si>
  <si>
    <t>DEGRADATION</t>
  </si>
  <si>
    <t>TRANCHE 3 STEP</t>
  </si>
  <si>
    <t>RATE</t>
  </si>
  <si>
    <t>CI PRIORITY</t>
  </si>
  <si>
    <t>PRIORITY</t>
  </si>
  <si>
    <t>CI PRIORITY2</t>
  </si>
  <si>
    <t>EVENT DURATION</t>
  </si>
  <si>
    <t>Small</t>
  </si>
  <si>
    <t>Medium</t>
  </si>
  <si>
    <t>Large</t>
  </si>
  <si>
    <t>Yes</t>
  </si>
  <si>
    <t>Tranche 2</t>
  </si>
  <si>
    <t>Tiered Rate</t>
  </si>
  <si>
    <t>None</t>
  </si>
  <si>
    <t>Standard</t>
  </si>
  <si>
    <t>Single Rate</t>
  </si>
  <si>
    <t>Grid-Edge</t>
  </si>
  <si>
    <t>Tranche 3 Step 2</t>
  </si>
  <si>
    <t>Critical Facility</t>
  </si>
  <si>
    <t>Bridgeport</t>
  </si>
  <si>
    <t>Tranche 3 Step 3</t>
  </si>
  <si>
    <t>Replacing Generator</t>
  </si>
  <si>
    <t>MFAH</t>
  </si>
  <si>
    <t>Bristol (Expires 10/4/2028)</t>
  </si>
  <si>
    <t>Derby</t>
  </si>
  <si>
    <t>Killingly</t>
  </si>
  <si>
    <t>East Hartford</t>
  </si>
  <si>
    <t>East Haven</t>
  </si>
  <si>
    <t>Groton (Expires 10/4/2028)</t>
  </si>
  <si>
    <t>Hartford</t>
  </si>
  <si>
    <t>Lisbon</t>
  </si>
  <si>
    <t>Mansfield</t>
  </si>
  <si>
    <t>Plainfield</t>
  </si>
  <si>
    <t>Meriden</t>
  </si>
  <si>
    <t>New Britain</t>
  </si>
  <si>
    <t>New London</t>
  </si>
  <si>
    <t>Norwich</t>
  </si>
  <si>
    <t>Plymouth</t>
  </si>
  <si>
    <t>North Stonington (Expires 10/4/2028)</t>
  </si>
  <si>
    <t>Putnam</t>
  </si>
  <si>
    <t>Sprague</t>
  </si>
  <si>
    <t>Sterling</t>
  </si>
  <si>
    <t>Torrington</t>
  </si>
  <si>
    <t>Preston (Expires 9/10/2026)</t>
  </si>
  <si>
    <t>Waterbury</t>
  </si>
  <si>
    <t>West Haven</t>
  </si>
  <si>
    <t>Winchester</t>
  </si>
  <si>
    <t>Stratford (Expires 10/3/2027)</t>
  </si>
  <si>
    <t>Windham</t>
  </si>
  <si>
    <t/>
  </si>
  <si>
    <t>OK</t>
  </si>
  <si>
    <t>Warning!</t>
  </si>
  <si>
    <t>Not Compliant</t>
  </si>
  <si>
    <t>72% Min. Inverter Size</t>
  </si>
  <si>
    <t>80% Min. Inverter Size</t>
  </si>
  <si>
    <t>System design meets minimum threshold for Passive Dispatch.</t>
  </si>
  <si>
    <t>System design is not capable of meeting minimum threshold to participate in Passive Dispatch and does not qualify for enrollment.</t>
  </si>
  <si>
    <t>System design meets minimum threshold for Passive Dispatch, but must participate in 100% of Passive and Active events to avoid triggering claw back.</t>
  </si>
  <si>
    <t>Date</t>
  </si>
  <si>
    <t>Original Version</t>
  </si>
  <si>
    <t>New Version</t>
  </si>
  <si>
    <t>6.1.1</t>
  </si>
  <si>
    <t>Created a Step dropdown set to Step 2 as the default value in preparation for Step 2 incentive transition.</t>
  </si>
  <si>
    <t>Summary of Changes</t>
  </si>
  <si>
    <t>Created a change log</t>
  </si>
  <si>
    <t>TRANCHE 1 STEP</t>
  </si>
  <si>
    <t>Tranche 1 Step 1</t>
  </si>
  <si>
    <t>INSTRUCTIONS: Complete the orange shaded fields 1-7. Optionally, edit the values in fields 8-11.</t>
  </si>
  <si>
    <t>Tranche 1 Step 2</t>
  </si>
  <si>
    <t>Added a residential standard rate working calculation. Edited formula in cll G33</t>
  </si>
  <si>
    <t>Updated Underserved Communities list</t>
  </si>
  <si>
    <t>By</t>
  </si>
  <si>
    <t>EK</t>
  </si>
  <si>
    <t>Version 6.3 - 12/4/25</t>
  </si>
  <si>
    <t>2025 DISTRESSED MUNICIPALITY</t>
  </si>
  <si>
    <t>North Canaan</t>
  </si>
  <si>
    <t>Stafford</t>
  </si>
  <si>
    <t>Willington</t>
  </si>
  <si>
    <t>Voluntown (Expires 10/21/2029)</t>
  </si>
  <si>
    <t>Ansonia (Expires 10/29/2030)</t>
  </si>
  <si>
    <t>Chaplin (Expires 10/29/2030)</t>
  </si>
  <si>
    <t>Griswold (Expires 10/29/2030)</t>
  </si>
  <si>
    <t>Montville (Expires 10/29/2030)</t>
  </si>
  <si>
    <t>Naugatuck (Expires 10/29/2030)</t>
  </si>
  <si>
    <t>New Haven (Expires 9/10/2031)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</si>
</sst>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0.0%"/>
    <numFmt numFmtId="168" formatCode="0.0"/>
  </numFmts>
  <fonts count="35" x14ac:knownFonts="1">
    <font>
      <sz val="10"/>
      <color theme="1"/>
      <name val="Arial"/>
      <family val="2"/>
    </font>
    <font>
      <sz val="10"/>
      <color theme="1"/>
      <name val="Arial Nova"/>
      <family val="2"/>
    </font>
    <font>
      <sz val="10"/>
      <color theme="1"/>
      <name val="Arial"/>
      <family val="2"/>
    </font>
    <font>
      <sz val="10"/>
      <color rgb="FF3F3F76"/>
      <name val="Arial"/>
      <family val="2"/>
    </font>
    <font>
      <b/>
      <sz val="10"/>
      <color theme="1"/>
      <name val="Arial"/>
      <family val="2"/>
    </font>
    <font>
      <sz val="8"/>
      <name val="Arial"/>
      <family val="2"/>
    </font>
    <font>
      <b/>
      <sz val="10"/>
      <color rgb="FFFFFFFF"/>
      <name val="Arial"/>
      <family val="2"/>
    </font>
    <font>
      <sz val="11"/>
      <color theme="1"/>
      <name val="Calibri"/>
      <family val="2"/>
      <scheme val="minor"/>
    </font>
    <font>
      <b/>
      <sz val="10"/>
      <color rgb="FF3F3F3F"/>
      <name val="Arial"/>
      <family val="2"/>
    </font>
    <font>
      <sz val="10"/>
      <color rgb="FF9C5700"/>
      <name val="Arial"/>
      <family val="2"/>
    </font>
    <font>
      <i/>
      <sz val="10"/>
      <color rgb="FF7F7F7F"/>
      <name val="Arial"/>
      <family val="2"/>
    </font>
    <font>
      <b/>
      <sz val="10"/>
      <color rgb="FFFA7D00"/>
      <name val="Arial"/>
      <family val="2"/>
    </font>
    <font>
      <b/>
      <sz val="12"/>
      <color theme="1"/>
      <name val="Calibri"/>
      <family val="2"/>
      <scheme val="minor"/>
    </font>
    <font>
      <u/>
      <sz val="10"/>
      <color theme="10"/>
      <name val="Arial"/>
      <family val="2"/>
    </font>
    <font>
      <b/>
      <sz val="10"/>
      <color theme="1"/>
      <name val="Arial Nova"/>
      <family val="2"/>
    </font>
    <font>
      <sz val="10"/>
      <name val="Arial Nova"/>
      <family val="2"/>
    </font>
    <font>
      <b/>
      <sz val="11"/>
      <name val="Arial Nova"/>
      <family val="2"/>
    </font>
    <font>
      <b/>
      <sz val="10"/>
      <name val="Arial Nova"/>
      <family val="2"/>
    </font>
    <font>
      <i/>
      <sz val="8"/>
      <name val="Arial Nova"/>
      <family val="2"/>
    </font>
    <font>
      <b/>
      <sz val="12"/>
      <name val="Arial Nova"/>
      <family val="2"/>
    </font>
    <font>
      <b/>
      <sz val="14"/>
      <name val="Arial Nova"/>
      <family val="2"/>
    </font>
    <font>
      <i/>
      <sz val="10"/>
      <name val="Arial Nova"/>
      <family val="2"/>
    </font>
    <font>
      <i/>
      <sz val="9"/>
      <name val="Arial Nova"/>
      <family val="2"/>
    </font>
    <font>
      <b/>
      <i/>
      <sz val="10"/>
      <name val="Arial Nova"/>
      <family val="2"/>
    </font>
    <font>
      <b/>
      <i/>
      <sz val="8"/>
      <name val="Arial Nova"/>
      <family val="2"/>
    </font>
    <font>
      <b/>
      <sz val="16"/>
      <name val="Arial Nova"/>
      <family val="2"/>
    </font>
    <font>
      <b/>
      <u/>
      <sz val="10"/>
      <color theme="10"/>
      <name val="Arial Nova"/>
      <family val="2"/>
    </font>
    <font>
      <b/>
      <i/>
      <sz val="10"/>
      <color theme="0" tint="-0.34998626667073579"/>
      <name val="Arial Nova"/>
      <family val="2"/>
    </font>
    <font>
      <i/>
      <sz val="10"/>
      <color theme="0" tint="-0.34998626667073579"/>
      <name val="Arial Nova"/>
      <family val="2"/>
    </font>
    <font>
      <sz val="10"/>
      <color theme="0" tint="-0.34998626667073579"/>
      <name val="Arial Nova"/>
      <family val="2"/>
    </font>
    <font>
      <b/>
      <sz val="10"/>
      <color theme="0" tint="-0.34998626667073579"/>
      <name val="Arial Nova"/>
      <family val="2"/>
    </font>
    <font>
      <i/>
      <sz val="10"/>
      <color theme="0" tint="-0.499984740745262"/>
      <name val="Arial Nova"/>
      <family val="2"/>
    </font>
    <font>
      <b/>
      <sz val="12"/>
      <color theme="0"/>
      <name val="Arial Nova"/>
      <family val="2"/>
    </font>
    <font>
      <u/>
      <sz val="10"/>
      <name val="Arial Nova"/>
      <family val="2"/>
    </font>
    <font>
      <sz val="8"/>
      <name val="Arial Nova"/>
      <family val="2"/>
    </font>
  </fonts>
  <fills count="13">
    <fill>
      <patternFill patternType="none"/>
    </fill>
    <fill>
      <patternFill patternType="gray125"/>
    </fill>
    <fill>
      <patternFill patternType="solid">
        <fgColor rgb="FFFFCC99"/>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2F2F2"/>
      </patternFill>
    </fill>
    <fill>
      <patternFill patternType="solid">
        <fgColor rgb="FFFFEB9C"/>
      </patternFill>
    </fill>
    <fill>
      <patternFill patternType="solid">
        <fgColor rgb="FFDDEBF7"/>
        <bgColor indexed="64"/>
      </patternFill>
    </fill>
    <fill>
      <patternFill patternType="solid">
        <fgColor rgb="FF30318C"/>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05A22"/>
        <bgColor indexed="64"/>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s>
  <cellStyleXfs count="12">
    <xf numFmtId="0" fontId="0" fillId="0" borderId="0"/>
    <xf numFmtId="44" fontId="2" fillId="0" borderId="0" applyFont="0" applyFill="0" applyBorder="0" applyAlignment="0" applyProtection="0"/>
    <xf numFmtId="0" fontId="3" fillId="2" borderId="1" applyNumberFormat="0" applyAlignment="0" applyProtection="0"/>
    <xf numFmtId="0" fontId="7" fillId="0" borderId="0"/>
    <xf numFmtId="0" fontId="6" fillId="3" borderId="2" applyNumberFormat="0"/>
    <xf numFmtId="9" fontId="2" fillId="0" borderId="0" applyFont="0" applyFill="0" applyBorder="0" applyAlignment="0" applyProtection="0"/>
    <xf numFmtId="43" fontId="2" fillId="0" borderId="0" applyFont="0" applyFill="0" applyBorder="0" applyAlignment="0" applyProtection="0"/>
    <xf numFmtId="0" fontId="8" fillId="6" borderId="3" applyNumberFormat="0" applyAlignment="0" applyProtection="0"/>
    <xf numFmtId="0" fontId="9" fillId="7" borderId="0" applyNumberFormat="0" applyBorder="0" applyAlignment="0" applyProtection="0"/>
    <xf numFmtId="0" fontId="10" fillId="0" borderId="0" applyNumberFormat="0" applyFill="0" applyBorder="0" applyAlignment="0" applyProtection="0"/>
    <xf numFmtId="0" fontId="11" fillId="6" borderId="1" applyNumberFormat="0" applyAlignment="0" applyProtection="0"/>
    <xf numFmtId="0" fontId="13" fillId="0" borderId="0" applyNumberFormat="0" applyFill="0" applyBorder="0" applyAlignment="0" applyProtection="0"/>
  </cellStyleXfs>
  <cellXfs count="108">
    <xf numFmtId="0" fontId="0" fillId="0" borderId="0" xfId="0"/>
    <xf numFmtId="9" fontId="0" fillId="0" borderId="0" xfId="0" applyNumberFormat="1"/>
    <xf numFmtId="0" fontId="4" fillId="0" borderId="0" xfId="0" applyFont="1"/>
    <xf numFmtId="167" fontId="0" fillId="0" borderId="0" xfId="0" applyNumberFormat="1"/>
    <xf numFmtId="0" fontId="12" fillId="0" borderId="0" xfId="0" applyFont="1"/>
    <xf numFmtId="44" fontId="0" fillId="0" borderId="0" xfId="1" applyFont="1"/>
    <xf numFmtId="0" fontId="15" fillId="0" borderId="0" xfId="0" applyFont="1"/>
    <xf numFmtId="0" fontId="15" fillId="0" borderId="0" xfId="0" applyFont="1" applyAlignment="1">
      <alignment vertical="center" wrapText="1"/>
    </xf>
    <xf numFmtId="0" fontId="15" fillId="0" borderId="0" xfId="0" applyFont="1" applyAlignment="1">
      <alignment horizontal="center" vertical="center" wrapText="1"/>
    </xf>
    <xf numFmtId="0" fontId="1" fillId="0" borderId="0" xfId="0" applyFont="1"/>
    <xf numFmtId="0" fontId="18" fillId="0" borderId="0" xfId="9" applyFont="1" applyBorder="1" applyAlignment="1" applyProtection="1">
      <alignment vertical="top" wrapText="1"/>
    </xf>
    <xf numFmtId="164" fontId="15" fillId="0" borderId="0" xfId="0" applyNumberFormat="1" applyFont="1"/>
    <xf numFmtId="0" fontId="17" fillId="0" borderId="0" xfId="0" applyFont="1"/>
    <xf numFmtId="165" fontId="15" fillId="12" borderId="0" xfId="6" applyNumberFormat="1" applyFont="1" applyFill="1" applyBorder="1" applyAlignment="1" applyProtection="1">
      <alignment horizontal="center"/>
      <protection locked="0"/>
    </xf>
    <xf numFmtId="164" fontId="15" fillId="12" borderId="0" xfId="2" applyNumberFormat="1" applyFont="1" applyFill="1" applyBorder="1" applyAlignment="1" applyProtection="1">
      <alignment horizontal="center"/>
      <protection locked="0"/>
    </xf>
    <xf numFmtId="43" fontId="15" fillId="12" borderId="0" xfId="6" applyFont="1" applyFill="1" applyBorder="1" applyAlignment="1" applyProtection="1">
      <alignment horizontal="center"/>
      <protection locked="0"/>
    </xf>
    <xf numFmtId="167" fontId="15" fillId="12" borderId="0" xfId="5" applyNumberFormat="1" applyFont="1" applyFill="1" applyBorder="1" applyAlignment="1" applyProtection="1">
      <alignment horizontal="center"/>
      <protection locked="0"/>
    </xf>
    <xf numFmtId="9" fontId="15" fillId="12" borderId="0" xfId="5" applyFont="1" applyFill="1" applyBorder="1" applyAlignment="1" applyProtection="1">
      <alignment horizontal="center"/>
      <protection locked="0"/>
    </xf>
    <xf numFmtId="168" fontId="15" fillId="12" borderId="0" xfId="5" applyNumberFormat="1" applyFont="1" applyFill="1" applyBorder="1" applyAlignment="1" applyProtection="1">
      <alignment horizontal="center"/>
      <protection locked="0"/>
    </xf>
    <xf numFmtId="0" fontId="17" fillId="6" borderId="0" xfId="7" applyFont="1" applyBorder="1" applyAlignment="1" applyProtection="1">
      <alignment horizontal="center"/>
    </xf>
    <xf numFmtId="0" fontId="18" fillId="10" borderId="0" xfId="9" applyFont="1" applyFill="1" applyBorder="1" applyAlignment="1" applyProtection="1">
      <alignment vertical="top"/>
    </xf>
    <xf numFmtId="164" fontId="15" fillId="0" borderId="0" xfId="1" applyNumberFormat="1" applyFont="1" applyFill="1" applyBorder="1" applyProtection="1"/>
    <xf numFmtId="164" fontId="15" fillId="10" borderId="0" xfId="1" applyNumberFormat="1" applyFont="1" applyFill="1" applyBorder="1" applyProtection="1"/>
    <xf numFmtId="166" fontId="18" fillId="0" borderId="0" xfId="9" applyNumberFormat="1" applyFont="1" applyFill="1" applyBorder="1" applyAlignment="1" applyProtection="1">
      <alignment horizontal="center"/>
    </xf>
    <xf numFmtId="0" fontId="15" fillId="12" borderId="0" xfId="2" applyFont="1" applyFill="1" applyBorder="1" applyAlignment="1" applyProtection="1">
      <alignment horizontal="right"/>
      <protection locked="0"/>
    </xf>
    <xf numFmtId="164" fontId="15" fillId="12" borderId="0" xfId="2" applyNumberFormat="1" applyFont="1" applyFill="1" applyBorder="1" applyAlignment="1" applyProtection="1">
      <alignment horizontal="right"/>
      <protection locked="0"/>
    </xf>
    <xf numFmtId="166" fontId="15" fillId="12" borderId="0" xfId="6" applyNumberFormat="1" applyFont="1" applyFill="1" applyBorder="1" applyAlignment="1" applyProtection="1">
      <alignment horizontal="center"/>
      <protection locked="0"/>
    </xf>
    <xf numFmtId="167" fontId="15" fillId="12" borderId="0" xfId="2" applyNumberFormat="1" applyFont="1" applyFill="1" applyBorder="1" applyAlignment="1" applyProtection="1">
      <alignment horizontal="center"/>
      <protection locked="0"/>
    </xf>
    <xf numFmtId="10" fontId="15" fillId="0" borderId="0" xfId="0" applyNumberFormat="1" applyFont="1"/>
    <xf numFmtId="9" fontId="15" fillId="12" borderId="0" xfId="2" applyNumberFormat="1" applyFont="1" applyFill="1" applyBorder="1" applyAlignment="1" applyProtection="1">
      <alignment horizontal="center"/>
      <protection locked="0"/>
    </xf>
    <xf numFmtId="168" fontId="15" fillId="12" borderId="0" xfId="2" applyNumberFormat="1" applyFont="1" applyFill="1" applyBorder="1" applyAlignment="1" applyProtection="1">
      <alignment horizontal="center"/>
      <protection locked="0"/>
    </xf>
    <xf numFmtId="8" fontId="15" fillId="0" borderId="0" xfId="0" applyNumberFormat="1" applyFont="1"/>
    <xf numFmtId="44" fontId="15" fillId="0" borderId="0" xfId="1" applyFont="1" applyBorder="1" applyProtection="1"/>
    <xf numFmtId="43" fontId="15" fillId="0" borderId="0" xfId="6" applyFont="1" applyBorder="1" applyProtection="1"/>
    <xf numFmtId="2" fontId="15" fillId="0" borderId="0" xfId="0" applyNumberFormat="1" applyFont="1"/>
    <xf numFmtId="168" fontId="28" fillId="0" borderId="0" xfId="9" applyNumberFormat="1" applyFont="1" applyFill="1" applyBorder="1" applyAlignment="1" applyProtection="1">
      <alignment horizontal="right"/>
    </xf>
    <xf numFmtId="44" fontId="28" fillId="0" borderId="0" xfId="1" applyFont="1" applyFill="1" applyBorder="1" applyAlignment="1" applyProtection="1">
      <alignment horizontal="right"/>
    </xf>
    <xf numFmtId="165" fontId="28" fillId="0" borderId="0" xfId="9" applyNumberFormat="1" applyFont="1" applyFill="1" applyBorder="1" applyAlignment="1" applyProtection="1">
      <alignment horizontal="right"/>
    </xf>
    <xf numFmtId="43" fontId="28" fillId="0" borderId="0" xfId="9" applyNumberFormat="1" applyFont="1" applyFill="1" applyBorder="1" applyAlignment="1" applyProtection="1">
      <alignment horizontal="right"/>
    </xf>
    <xf numFmtId="164" fontId="30" fillId="0" borderId="0" xfId="10" applyNumberFormat="1" applyFont="1" applyFill="1" applyBorder="1" applyAlignment="1" applyProtection="1">
      <alignment vertical="center"/>
    </xf>
    <xf numFmtId="43" fontId="15" fillId="10" borderId="0" xfId="6" applyFont="1" applyFill="1" applyBorder="1" applyProtection="1"/>
    <xf numFmtId="164" fontId="17" fillId="10" borderId="0" xfId="1" applyNumberFormat="1" applyFont="1" applyFill="1" applyBorder="1" applyAlignment="1" applyProtection="1"/>
    <xf numFmtId="164" fontId="22" fillId="10" borderId="0" xfId="1" applyNumberFormat="1" applyFont="1" applyFill="1" applyBorder="1" applyAlignment="1" applyProtection="1">
      <alignment horizontal="right" vertical="center" wrapText="1"/>
    </xf>
    <xf numFmtId="0" fontId="17" fillId="5" borderId="0" xfId="0" applyFont="1" applyFill="1"/>
    <xf numFmtId="0" fontId="14" fillId="0" borderId="0" xfId="0" applyFont="1"/>
    <xf numFmtId="0" fontId="18" fillId="11" borderId="0" xfId="9" applyFont="1" applyFill="1" applyBorder="1" applyAlignment="1" applyProtection="1">
      <alignment vertical="top" wrapText="1"/>
    </xf>
    <xf numFmtId="0" fontId="17" fillId="10" borderId="0" xfId="0" applyFont="1" applyFill="1" applyAlignment="1">
      <alignment horizontal="left"/>
    </xf>
    <xf numFmtId="0" fontId="15" fillId="10" borderId="0" xfId="0" applyFont="1" applyFill="1"/>
    <xf numFmtId="0" fontId="1" fillId="10" borderId="0" xfId="0" applyFont="1" applyFill="1"/>
    <xf numFmtId="0" fontId="0" fillId="10" borderId="0" xfId="0" applyFill="1"/>
    <xf numFmtId="0" fontId="26" fillId="10" borderId="0" xfId="11" applyFont="1" applyFill="1" applyBorder="1" applyAlignment="1" applyProtection="1">
      <alignment horizontal="left"/>
    </xf>
    <xf numFmtId="0" fontId="17" fillId="10" borderId="0" xfId="0" applyFont="1" applyFill="1" applyAlignment="1">
      <alignment horizontal="center"/>
    </xf>
    <xf numFmtId="0" fontId="15" fillId="11" borderId="0" xfId="0" applyFont="1" applyFill="1"/>
    <xf numFmtId="0" fontId="19" fillId="4" borderId="0" xfId="0" applyFont="1" applyFill="1" applyAlignment="1">
      <alignment vertical="center"/>
    </xf>
    <xf numFmtId="44" fontId="22" fillId="10" borderId="0" xfId="0" applyNumberFormat="1" applyFont="1" applyFill="1" applyAlignment="1">
      <alignment vertical="center"/>
    </xf>
    <xf numFmtId="0" fontId="22" fillId="10" borderId="0" xfId="0" applyFont="1" applyFill="1" applyAlignment="1">
      <alignment vertical="center"/>
    </xf>
    <xf numFmtId="0" fontId="18" fillId="11" borderId="0" xfId="0" applyFont="1" applyFill="1"/>
    <xf numFmtId="0" fontId="17" fillId="11" borderId="0" xfId="0" applyFont="1" applyFill="1" applyAlignment="1">
      <alignment horizontal="left"/>
    </xf>
    <xf numFmtId="0" fontId="17" fillId="11" borderId="0" xfId="0" applyFont="1" applyFill="1"/>
    <xf numFmtId="164" fontId="17" fillId="10" borderId="0" xfId="0" applyNumberFormat="1" applyFont="1" applyFill="1"/>
    <xf numFmtId="165" fontId="15" fillId="10" borderId="0" xfId="0" applyNumberFormat="1" applyFont="1" applyFill="1"/>
    <xf numFmtId="164" fontId="15" fillId="10" borderId="0" xfId="0" applyNumberFormat="1" applyFont="1" applyFill="1"/>
    <xf numFmtId="164" fontId="17" fillId="0" borderId="0" xfId="0" applyNumberFormat="1" applyFont="1"/>
    <xf numFmtId="165" fontId="15" fillId="0" borderId="0" xfId="0" applyNumberFormat="1" applyFont="1"/>
    <xf numFmtId="0" fontId="31" fillId="0" borderId="0" xfId="0" applyFont="1" applyAlignment="1">
      <alignment horizontal="right"/>
    </xf>
    <xf numFmtId="43" fontId="15" fillId="0" borderId="0" xfId="0" applyNumberFormat="1" applyFont="1"/>
    <xf numFmtId="0" fontId="27" fillId="0" borderId="0" xfId="0" applyFont="1"/>
    <xf numFmtId="0" fontId="15" fillId="10" borderId="0" xfId="0" applyFont="1" applyFill="1" applyAlignment="1">
      <alignment vertical="center" wrapText="1"/>
    </xf>
    <xf numFmtId="0" fontId="17" fillId="0" borderId="0" xfId="0" applyFont="1" applyAlignment="1">
      <alignment horizontal="center" vertical="center" wrapText="1"/>
    </xf>
    <xf numFmtId="0" fontId="18" fillId="10" borderId="0" xfId="0" applyFont="1" applyFill="1"/>
    <xf numFmtId="0" fontId="22" fillId="10" borderId="0" xfId="0" applyFont="1" applyFill="1" applyAlignment="1">
      <alignment wrapText="1"/>
    </xf>
    <xf numFmtId="0" fontId="19" fillId="8" borderId="0" xfId="0" applyFont="1" applyFill="1" applyAlignment="1">
      <alignment vertical="center"/>
    </xf>
    <xf numFmtId="0" fontId="28" fillId="0" borderId="0" xfId="0" applyFont="1" applyAlignment="1">
      <alignment horizontal="right"/>
    </xf>
    <xf numFmtId="164" fontId="29" fillId="0" borderId="0" xfId="0" applyNumberFormat="1" applyFont="1" applyAlignment="1">
      <alignment horizontal="right"/>
    </xf>
    <xf numFmtId="0" fontId="17" fillId="0" borderId="0" xfId="0" applyFont="1" applyAlignment="1">
      <alignment horizontal="right" vertical="top"/>
    </xf>
    <xf numFmtId="43" fontId="28" fillId="0" borderId="0" xfId="6" applyFont="1" applyFill="1" applyBorder="1" applyAlignment="1" applyProtection="1">
      <alignment horizontal="right"/>
    </xf>
    <xf numFmtId="164" fontId="22" fillId="10" borderId="0" xfId="1" applyNumberFormat="1" applyFont="1" applyFill="1" applyBorder="1" applyAlignment="1" applyProtection="1">
      <alignment horizontal="right" vertical="center"/>
    </xf>
    <xf numFmtId="44" fontId="1" fillId="0" borderId="0" xfId="0" applyNumberFormat="1" applyFont="1"/>
    <xf numFmtId="0" fontId="4" fillId="0" borderId="0" xfId="0" applyFont="1" applyAlignment="1">
      <alignment horizontal="center" vertical="center"/>
    </xf>
    <xf numFmtId="0" fontId="17" fillId="10" borderId="0" xfId="0" applyFont="1" applyFill="1" applyAlignment="1">
      <alignment horizontal="center" vertical="center"/>
    </xf>
    <xf numFmtId="0" fontId="15" fillId="0" borderId="0" xfId="0" applyFont="1" applyProtection="1">
      <protection hidden="1"/>
    </xf>
    <xf numFmtId="0" fontId="1" fillId="0" borderId="0" xfId="0" applyFont="1" applyProtection="1">
      <protection hidden="1"/>
    </xf>
    <xf numFmtId="9" fontId="15" fillId="0" borderId="0" xfId="5" applyFont="1"/>
    <xf numFmtId="14" fontId="0" fillId="0" borderId="0" xfId="0" applyNumberFormat="1"/>
    <xf numFmtId="0" fontId="0" fillId="0" borderId="0" xfId="0" applyAlignment="1">
      <alignment horizontal="center"/>
    </xf>
    <xf numFmtId="0" fontId="0" fillId="0" borderId="0" xfId="0" applyAlignment="1">
      <alignment horizontal="left"/>
    </xf>
    <xf numFmtId="0" fontId="4" fillId="0" borderId="4" xfId="0" applyFont="1" applyBorder="1" applyAlignment="1">
      <alignment horizontal="left"/>
    </xf>
    <xf numFmtId="0" fontId="16" fillId="0" borderId="0" xfId="0" quotePrefix="1" applyFont="1" applyAlignment="1">
      <alignment horizontal="left"/>
    </xf>
    <xf numFmtId="0" fontId="16" fillId="0" borderId="0" xfId="0" applyFont="1" applyAlignment="1">
      <alignment horizontal="left"/>
    </xf>
    <xf numFmtId="0" fontId="21" fillId="0" borderId="0" xfId="0" applyFont="1" applyAlignment="1">
      <alignment horizontal="left" vertical="center" wrapText="1"/>
    </xf>
    <xf numFmtId="0" fontId="17" fillId="11" borderId="0" xfId="0" applyFont="1" applyFill="1" applyAlignment="1">
      <alignment horizontal="center"/>
    </xf>
    <xf numFmtId="164" fontId="20" fillId="8" borderId="0" xfId="1" applyNumberFormat="1" applyFont="1" applyFill="1" applyBorder="1" applyAlignment="1" applyProtection="1">
      <alignment horizontal="center" vertical="center"/>
    </xf>
    <xf numFmtId="164" fontId="22" fillId="10" borderId="0" xfId="1" applyNumberFormat="1" applyFont="1" applyFill="1" applyBorder="1" applyAlignment="1" applyProtection="1">
      <alignment horizontal="center" vertical="center" wrapText="1"/>
    </xf>
    <xf numFmtId="0" fontId="34" fillId="10" borderId="0" xfId="9" applyFont="1" applyFill="1" applyBorder="1" applyAlignment="1" applyProtection="1">
      <alignment horizontal="left" vertical="center" wrapText="1"/>
    </xf>
    <xf numFmtId="0" fontId="24" fillId="10" borderId="0" xfId="9" applyFont="1" applyFill="1" applyBorder="1" applyAlignment="1" applyProtection="1">
      <alignment horizontal="left" vertical="top"/>
    </xf>
    <xf numFmtId="0" fontId="30" fillId="10" borderId="0" xfId="0" applyFont="1" applyFill="1" applyAlignment="1">
      <alignment horizontal="center" vertical="center"/>
    </xf>
    <xf numFmtId="0" fontId="18" fillId="10" borderId="0" xfId="9" applyFont="1" applyFill="1" applyBorder="1" applyAlignment="1" applyProtection="1">
      <alignment horizontal="left" vertical="top"/>
    </xf>
    <xf numFmtId="0" fontId="32" fillId="9" borderId="0" xfId="0" applyFont="1" applyFill="1" applyAlignment="1">
      <alignment horizontal="center" vertical="center" wrapText="1"/>
    </xf>
    <xf numFmtId="0" fontId="32" fillId="9" borderId="0" xfId="0" applyFont="1" applyFill="1" applyAlignment="1">
      <alignment horizontal="center" vertical="center"/>
    </xf>
    <xf numFmtId="0" fontId="15" fillId="10" borderId="0" xfId="0" applyFont="1" applyFill="1" applyAlignment="1">
      <alignment horizontal="left" vertical="top" wrapText="1"/>
    </xf>
    <xf numFmtId="0" fontId="19" fillId="8" borderId="0" xfId="0" applyFont="1" applyFill="1" applyAlignment="1">
      <alignment horizontal="left" vertical="center"/>
    </xf>
    <xf numFmtId="164" fontId="25" fillId="4" borderId="0" xfId="1" applyNumberFormat="1" applyFont="1" applyFill="1" applyBorder="1" applyAlignment="1" applyProtection="1">
      <alignment horizontal="center" vertical="center"/>
    </xf>
    <xf numFmtId="0" fontId="18" fillId="10" borderId="0" xfId="9" applyFont="1" applyFill="1" applyBorder="1" applyAlignment="1" applyProtection="1">
      <alignment vertical="top"/>
    </xf>
    <xf numFmtId="0" fontId="22" fillId="10" borderId="0" xfId="0" applyFont="1" applyFill="1" applyAlignment="1">
      <alignment horizontal="left" vertical="center"/>
    </xf>
    <xf numFmtId="0" fontId="18" fillId="10" borderId="0" xfId="9" applyFont="1" applyFill="1" applyBorder="1" applyAlignment="1" applyProtection="1">
      <alignment vertical="top" wrapText="1"/>
    </xf>
    <xf numFmtId="0" fontId="19" fillId="4" borderId="0" xfId="0" applyFont="1" applyFill="1" applyAlignment="1">
      <alignment horizontal="left" vertical="center" wrapText="1"/>
    </xf>
    <xf numFmtId="0" fontId="15" fillId="0" borderId="0" xfId="8" applyFont="1" applyFill="1" applyBorder="1" applyAlignment="1" applyProtection="1">
      <alignment horizontal="left" vertical="center" wrapText="1"/>
    </xf>
    <xf numFmtId="0" fontId="13" fillId="0" borderId="0" xfId="11"/>
  </cellXfs>
  <cellStyles count="12">
    <cellStyle name="Calculation" xfId="10" builtinId="22"/>
    <cellStyle name="Comma" xfId="6" builtinId="3"/>
    <cellStyle name="Currency" xfId="1" builtinId="4"/>
    <cellStyle name="Explanatory Text" xfId="9" builtinId="53"/>
    <cellStyle name="GH_Dark_H3" xfId="4" xr:uid="{575DF477-074F-45DE-A7F7-BFB1D51E5D4D}"/>
    <cellStyle name="Hyperlink" xfId="11" builtinId="8"/>
    <cellStyle name="Input" xfId="2" builtinId="20"/>
    <cellStyle name="Neutral" xfId="8" builtinId="28"/>
    <cellStyle name="Normal" xfId="0" builtinId="0"/>
    <cellStyle name="Normal 2" xfId="3" xr:uid="{BE780467-9D84-4C1D-B2B0-0AD966E684D4}"/>
    <cellStyle name="Output" xfId="7" builtinId="21"/>
    <cellStyle name="Percent" xfId="5" builtinId="5"/>
  </cellStyles>
  <dxfs count="27">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i val="0"/>
        <strike val="0"/>
        <condense val="0"/>
        <extend val="0"/>
        <outline val="0"/>
        <shadow val="0"/>
        <u val="none"/>
        <vertAlign val="baseline"/>
        <sz val="10"/>
        <color theme="1"/>
        <name val="Arial"/>
        <family val="2"/>
        <scheme val="none"/>
      </font>
    </dxf>
  </dxfs>
  <tableStyles count="0" defaultTableStyle="TableStyleMedium2" defaultPivotStyle="PivotStyleLight16"/>
  <colors>
    <mruColors>
      <color rgb="FFF05A22"/>
      <color rgb="FF30318C"/>
      <color rgb="FFFF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175260</xdr:colOff>
      <xdr:row>0</xdr:row>
      <xdr:rowOff>7621</xdr:rowOff>
    </xdr:from>
    <xdr:to>
      <xdr:col>3</xdr:col>
      <xdr:colOff>1199530</xdr:colOff>
      <xdr:row>1</xdr:row>
      <xdr:rowOff>492035</xdr:rowOff>
    </xdr:to>
    <xdr:pic>
      <xdr:nvPicPr>
        <xdr:cNvPr id="2" name="Picture 1">
          <a:extLst>
            <a:ext uri="{FF2B5EF4-FFF2-40B4-BE49-F238E27FC236}">
              <a16:creationId xmlns:a16="http://schemas.microsoft.com/office/drawing/2014/main" id="{2B7B7547-6E6C-48EF-B981-D5C4A33CAEA5}"/>
            </a:ext>
          </a:extLst>
        </xdr:cNvPr>
        <xdr:cNvPicPr>
          <a:picLocks noChangeAspect="1"/>
        </xdr:cNvPicPr>
      </xdr:nvPicPr>
      <xdr:blipFill rotWithShape="1">
        <a:blip xmlns:r="http://schemas.openxmlformats.org/officeDocument/2006/relationships" r:embed="rId1"/>
        <a:srcRect t="1" b="33566"/>
        <a:stretch/>
      </xdr:blipFill>
      <xdr:spPr>
        <a:xfrm>
          <a:off x="387531" y="7621"/>
          <a:ext cx="3227233" cy="640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190499</xdr:colOff>
      <xdr:row>0</xdr:row>
      <xdr:rowOff>73269</xdr:rowOff>
    </xdr:from>
    <xdr:to>
      <xdr:col>3</xdr:col>
      <xdr:colOff>1826571</xdr:colOff>
      <xdr:row>4</xdr:row>
      <xdr:rowOff>73269</xdr:rowOff>
    </xdr:to>
    <xdr:pic>
      <xdr:nvPicPr>
        <xdr:cNvPr id="2" name="Picture 1">
          <a:extLst>
            <a:ext uri="{FF2B5EF4-FFF2-40B4-BE49-F238E27FC236}">
              <a16:creationId xmlns:a16="http://schemas.microsoft.com/office/drawing/2014/main" id="{9609E7C7-0982-44C1-B2E0-2A3D68C3D675}"/>
            </a:ext>
          </a:extLst>
        </xdr:cNvPr>
        <xdr:cNvPicPr>
          <a:picLocks noChangeAspect="1"/>
        </xdr:cNvPicPr>
      </xdr:nvPicPr>
      <xdr:blipFill rotWithShape="1">
        <a:blip xmlns:r="http://schemas.openxmlformats.org/officeDocument/2006/relationships" r:embed="rId1"/>
        <a:srcRect b="32072"/>
        <a:stretch/>
      </xdr:blipFill>
      <xdr:spPr>
        <a:xfrm>
          <a:off x="419099" y="73269"/>
          <a:ext cx="3249366" cy="6477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DF8618-9DD9-4B93-A94C-AADE9C84BBB2}" name="Table1" displayName="Table1" ref="V1:Y5" totalsRowShown="0" headerRowDxfId="26" dataDxfId="25" dataCellStyle="Currency">
  <autoFilter ref="V1:Y5" xr:uid="{66DF8618-9DD9-4B93-A94C-AADE9C84BBB2}"/>
  <tableColumns count="4">
    <tableColumn id="1" xr3:uid="{DA06B565-B532-44CD-8EE3-0161E2F5804C}" name="Step"/>
    <tableColumn id="2" xr3:uid="{F3E3D3DC-7E03-4DE4-8F2E-0D2B20ECFD70}" name="Small" dataDxfId="24" dataCellStyle="Currency"/>
    <tableColumn id="3" xr3:uid="{DA5EE52C-43D5-4461-8CB7-D117EEFA467F}" name="Medium" dataDxfId="23" dataCellStyle="Currency"/>
    <tableColumn id="4" xr3:uid="{265477B8-5C4E-4603-A66B-4489A81C00F2}" name="Large" dataDxfId="22" dataCellStyle="Currency"/>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ortal.ct.gov/DECD/Content/About_DECD/Research-and-Publications/02_Review_Publications/Distressed-Municipaliti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portal.ct.gov/decd/content/about_decd/research-and-publications/02_review_publications/distressed-municipalities"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1A56D-1ECB-407D-BF98-7C5E48A1BF2C}">
  <sheetPr>
    <pageSetUpPr fitToPage="1"/>
  </sheetPr>
  <dimension ref="B2:N71"/>
  <sheetViews>
    <sheetView showGridLines="0" tabSelected="1" zoomScale="115" zoomScaleNormal="115" workbookViewId="0">
      <selection activeCell="F2" sqref="F2"/>
    </sheetView>
  </sheetViews>
  <sheetFormatPr defaultColWidth="9.109375" defaultRowHeight="13.2" x14ac:dyDescent="0.25"/>
  <cols>
    <col min="1" max="1" width="3.109375" style="6" customWidth="1"/>
    <col min="2" max="2" width="3.44140625" style="6" customWidth="1"/>
    <col min="3" max="3" width="29.88671875" style="6" customWidth="1"/>
    <col min="4" max="4" width="42.109375" style="6" customWidth="1"/>
    <col min="5" max="5" width="21.33203125" style="6" customWidth="1"/>
    <col min="6" max="6" width="38.33203125" style="6" bestFit="1" customWidth="1"/>
    <col min="7" max="7" width="25.5546875" style="6" bestFit="1" customWidth="1"/>
    <col min="8" max="9" width="21.33203125" style="6" customWidth="1"/>
    <col min="10" max="10" width="14" style="6" customWidth="1"/>
    <col min="11" max="11" width="25" style="6" bestFit="1" customWidth="1"/>
    <col min="12" max="12" width="11" style="6" bestFit="1" customWidth="1"/>
    <col min="13" max="13" width="14.88671875" style="6" bestFit="1" customWidth="1"/>
    <col min="14" max="14" width="10.33203125" style="6" bestFit="1" customWidth="1"/>
    <col min="15" max="16" width="9.109375" style="6"/>
    <col min="17" max="17" width="27.6640625" style="6" customWidth="1"/>
    <col min="18" max="18" width="15.44140625" style="6" customWidth="1"/>
    <col min="19" max="19" width="9.6640625" style="6" bestFit="1" customWidth="1"/>
    <col min="20" max="16384" width="9.109375" style="6"/>
  </cols>
  <sheetData>
    <row r="2" spans="2:14" ht="41.25" customHeight="1" x14ac:dyDescent="0.25">
      <c r="F2" s="68"/>
    </row>
    <row r="3" spans="2:14" ht="13.8" x14ac:dyDescent="0.25">
      <c r="C3" s="87" t="s">
        <v>135</v>
      </c>
      <c r="D3" s="88"/>
      <c r="E3" s="88"/>
      <c r="F3" s="88"/>
      <c r="G3" s="88"/>
    </row>
    <row r="4" spans="2:14" ht="12.75" customHeight="1" x14ac:dyDescent="0.25">
      <c r="C4" s="89" t="s">
        <v>0</v>
      </c>
      <c r="D4" s="89"/>
      <c r="E4" s="89"/>
      <c r="F4" s="89"/>
      <c r="G4" s="89"/>
      <c r="H4" s="7"/>
      <c r="I4" s="7"/>
      <c r="J4" s="8"/>
    </row>
    <row r="5" spans="2:14" ht="21" customHeight="1" x14ac:dyDescent="0.25">
      <c r="C5" s="89"/>
      <c r="D5" s="89"/>
      <c r="E5" s="89"/>
      <c r="F5" s="89"/>
      <c r="G5" s="89"/>
      <c r="H5" s="7"/>
      <c r="I5" s="74" t="s">
        <v>159</v>
      </c>
      <c r="J5" s="8"/>
    </row>
    <row r="6" spans="2:14" ht="9.75" customHeight="1" x14ac:dyDescent="0.25">
      <c r="C6" s="97" t="str">
        <f>CONCATENATE("C&amp;I"," ","Battery System – ",$C$10," kW / ",$C$11," kWh")</f>
        <v>C&amp;I Battery System – 7500 kW / 28125 kWh</v>
      </c>
      <c r="D6" s="97"/>
      <c r="E6" s="97"/>
      <c r="F6" s="97"/>
      <c r="G6" s="97"/>
      <c r="H6" s="99" t="s">
        <v>1</v>
      </c>
      <c r="I6" s="99"/>
      <c r="J6" s="8"/>
    </row>
    <row r="7" spans="2:14" ht="9.75" customHeight="1" x14ac:dyDescent="0.25">
      <c r="C7" s="97"/>
      <c r="D7" s="97"/>
      <c r="E7" s="97"/>
      <c r="F7" s="97"/>
      <c r="G7" s="97"/>
      <c r="H7" s="99"/>
      <c r="I7" s="99"/>
      <c r="J7" s="8"/>
    </row>
    <row r="8" spans="2:14" ht="9.75" customHeight="1" x14ac:dyDescent="0.25">
      <c r="C8" s="97"/>
      <c r="D8" s="97"/>
      <c r="E8" s="97"/>
      <c r="F8" s="97"/>
      <c r="G8" s="97"/>
      <c r="H8" s="99"/>
      <c r="I8" s="99"/>
      <c r="J8" s="8"/>
    </row>
    <row r="9" spans="2:14" ht="12.75" customHeight="1" x14ac:dyDescent="0.25">
      <c r="C9" s="90" t="s">
        <v>2</v>
      </c>
      <c r="D9" s="90"/>
      <c r="E9" s="90" t="s">
        <v>3</v>
      </c>
      <c r="F9" s="90"/>
      <c r="G9" s="90"/>
      <c r="H9" s="99"/>
      <c r="I9" s="99"/>
      <c r="J9" s="8"/>
    </row>
    <row r="10" spans="2:14" ht="12.75" customHeight="1" x14ac:dyDescent="0.25">
      <c r="B10" s="43">
        <v>1</v>
      </c>
      <c r="C10" s="13">
        <v>7500</v>
      </c>
      <c r="D10" s="46" t="s">
        <v>4</v>
      </c>
      <c r="E10" s="67"/>
      <c r="F10" s="47"/>
      <c r="G10" s="67"/>
      <c r="H10" s="99"/>
      <c r="I10" s="99"/>
      <c r="J10" s="8"/>
    </row>
    <row r="11" spans="2:14" ht="13.5" customHeight="1" x14ac:dyDescent="0.25">
      <c r="B11" s="43">
        <v>2</v>
      </c>
      <c r="C11" s="13">
        <v>28125</v>
      </c>
      <c r="D11" s="46" t="s">
        <v>5</v>
      </c>
      <c r="E11" s="67"/>
      <c r="F11" s="67"/>
      <c r="G11" s="67"/>
      <c r="H11" s="99"/>
      <c r="I11" s="99"/>
      <c r="J11" s="8"/>
    </row>
    <row r="12" spans="2:14" ht="12.75" customHeight="1" x14ac:dyDescent="0.25">
      <c r="B12" s="43">
        <v>3</v>
      </c>
      <c r="C12" s="14">
        <v>500000</v>
      </c>
      <c r="D12" s="46" t="s">
        <v>6</v>
      </c>
      <c r="E12" s="47"/>
      <c r="F12" s="49"/>
      <c r="G12" s="47"/>
      <c r="H12" s="99"/>
      <c r="I12" s="99"/>
    </row>
    <row r="13" spans="2:14" ht="12.75" customHeight="1" x14ac:dyDescent="0.25">
      <c r="B13" s="43">
        <v>4</v>
      </c>
      <c r="C13" s="14" t="s">
        <v>7</v>
      </c>
      <c r="D13" s="46" t="s">
        <v>8</v>
      </c>
      <c r="E13" s="47"/>
      <c r="F13" s="47"/>
      <c r="G13" s="47"/>
      <c r="H13" s="99"/>
      <c r="I13" s="99"/>
    </row>
    <row r="14" spans="2:14" x14ac:dyDescent="0.25">
      <c r="B14" s="12"/>
      <c r="C14" s="90" t="s">
        <v>9</v>
      </c>
      <c r="D14" s="90"/>
      <c r="E14" s="47"/>
      <c r="F14" s="47"/>
      <c r="G14" s="47"/>
      <c r="H14" s="99"/>
      <c r="I14" s="99"/>
    </row>
    <row r="15" spans="2:14" x14ac:dyDescent="0.25">
      <c r="B15" s="43">
        <v>5</v>
      </c>
      <c r="C15" s="15">
        <v>5000</v>
      </c>
      <c r="D15" s="51" t="s">
        <v>10</v>
      </c>
      <c r="E15" s="96" t="str">
        <f>IF(C15&lt;200.1,"This project qualifies for the Small Business Priority Customer adder","")</f>
        <v/>
      </c>
      <c r="F15" s="96"/>
      <c r="G15" s="96"/>
      <c r="H15" s="99"/>
      <c r="I15" s="99"/>
    </row>
    <row r="16" spans="2:14" ht="12.75" customHeight="1" x14ac:dyDescent="0.25">
      <c r="B16" s="43">
        <v>6</v>
      </c>
      <c r="C16" s="14" t="s">
        <v>99</v>
      </c>
      <c r="D16" s="51" t="s">
        <v>12</v>
      </c>
      <c r="E16" s="94" t="str">
        <f>IF(AND(Annual_Average_Demand_kW&gt;200,(C16="Small Business")),"Small Business adder does not apply to this customer. Make another selection!","")</f>
        <v/>
      </c>
      <c r="F16" s="94"/>
      <c r="G16" s="94"/>
      <c r="H16" s="99"/>
      <c r="I16" s="99"/>
      <c r="J16" s="9"/>
      <c r="K16" s="9"/>
      <c r="L16" s="9"/>
      <c r="M16" s="9"/>
      <c r="N16" s="9"/>
    </row>
    <row r="17" spans="2:14" ht="12.75" customHeight="1" x14ac:dyDescent="0.25">
      <c r="B17" s="44"/>
      <c r="C17" s="90" t="s">
        <v>13</v>
      </c>
      <c r="D17" s="90"/>
      <c r="E17" s="49"/>
      <c r="F17" s="49"/>
      <c r="G17" s="49"/>
      <c r="H17" s="99"/>
      <c r="I17" s="99"/>
      <c r="J17" s="9"/>
      <c r="K17" s="9"/>
      <c r="L17" s="9"/>
      <c r="M17" s="9"/>
      <c r="N17" s="9"/>
    </row>
    <row r="18" spans="2:14" ht="12.75" customHeight="1" x14ac:dyDescent="0.25">
      <c r="B18" s="12"/>
      <c r="C18" s="19" t="str">
        <f>IF(AND(Nameplate_Power_kW/Annual_Average_Demand_kW&gt;1.5,Nameplate_Power_kW&gt;2000),"Not Compliant","OK")</f>
        <v>OK</v>
      </c>
      <c r="D18" s="51" t="s">
        <v>14</v>
      </c>
      <c r="E18" s="94" t="str">
        <f>IF(C18="Not Compliant","Note: Inverter size is limited to the greater of 1.5x Annual Peak Demand or 2 MW.","")</f>
        <v/>
      </c>
      <c r="F18" s="94"/>
      <c r="G18" s="94"/>
      <c r="H18" s="99"/>
      <c r="I18" s="99"/>
      <c r="J18" s="9"/>
      <c r="K18" s="9"/>
      <c r="L18" s="9"/>
      <c r="M18" s="9"/>
      <c r="N18" s="9"/>
    </row>
    <row r="19" spans="2:14" ht="32.25" customHeight="1" x14ac:dyDescent="0.25">
      <c r="B19" s="12"/>
      <c r="C19" s="78" t="str">
        <f>IF(AND(Nameplate_Power_kW&gt;=D61,Nameplate_Power_kW&lt;D62),"Warning!",IF(Nameplate_Power_kW&gt;=D62,"OK","Not Compliant"))</f>
        <v>OK</v>
      </c>
      <c r="D19" s="79" t="s">
        <v>15</v>
      </c>
      <c r="E19" s="93" t="str">
        <f>VLOOKUP(C19,Lookup!A1:B3,2,FALSE)</f>
        <v>System design meets minimum threshold for Passive Dispatch.</v>
      </c>
      <c r="F19" s="93"/>
      <c r="G19" s="93"/>
      <c r="H19" s="99"/>
      <c r="I19" s="99"/>
      <c r="J19" s="9"/>
      <c r="K19" s="9"/>
      <c r="L19" s="9"/>
      <c r="M19" s="9"/>
      <c r="N19" s="9"/>
    </row>
    <row r="20" spans="2:14" ht="12.75" customHeight="1" x14ac:dyDescent="0.25">
      <c r="B20" s="12"/>
      <c r="C20" s="90" t="s">
        <v>16</v>
      </c>
      <c r="D20" s="90"/>
      <c r="E20" s="49"/>
      <c r="F20" s="49"/>
      <c r="G20" s="49"/>
      <c r="H20" s="99"/>
      <c r="I20" s="99"/>
      <c r="J20" s="9"/>
      <c r="K20" s="9"/>
      <c r="L20" s="9"/>
      <c r="M20" s="9"/>
      <c r="N20" s="9"/>
    </row>
    <row r="21" spans="2:14" ht="12.75" customHeight="1" x14ac:dyDescent="0.25">
      <c r="B21" s="43">
        <v>7</v>
      </c>
      <c r="C21" s="16">
        <v>2.5000000000000001E-2</v>
      </c>
      <c r="D21" s="46" t="s">
        <v>17</v>
      </c>
      <c r="E21" s="20" t="s">
        <v>18</v>
      </c>
      <c r="F21" s="47"/>
      <c r="G21" s="47"/>
      <c r="H21" s="99"/>
      <c r="I21" s="99"/>
      <c r="J21" s="9"/>
      <c r="K21" s="9"/>
      <c r="L21" s="9"/>
      <c r="M21" s="9"/>
      <c r="N21" s="9"/>
    </row>
    <row r="22" spans="2:14" ht="12.75" customHeight="1" x14ac:dyDescent="0.25">
      <c r="B22" s="43">
        <v>8</v>
      </c>
      <c r="C22" s="17">
        <v>0.8</v>
      </c>
      <c r="D22" s="46" t="s">
        <v>19</v>
      </c>
      <c r="E22" s="20" t="s">
        <v>20</v>
      </c>
      <c r="F22" s="47"/>
      <c r="G22" s="47"/>
      <c r="H22" s="99"/>
      <c r="I22" s="99"/>
      <c r="J22" s="9"/>
      <c r="K22" s="9"/>
      <c r="L22" s="9"/>
      <c r="M22" s="9"/>
      <c r="N22" s="9"/>
    </row>
    <row r="23" spans="2:14" ht="12.75" customHeight="1" x14ac:dyDescent="0.25">
      <c r="B23" s="43">
        <v>9</v>
      </c>
      <c r="C23" s="17">
        <v>0.7</v>
      </c>
      <c r="D23" s="46" t="s">
        <v>21</v>
      </c>
      <c r="E23" s="69" t="s">
        <v>22</v>
      </c>
      <c r="F23" s="47"/>
      <c r="G23" s="47"/>
      <c r="H23" s="99"/>
      <c r="I23" s="99"/>
      <c r="J23" s="9"/>
      <c r="K23" s="9"/>
      <c r="L23" s="9"/>
      <c r="M23" s="9"/>
      <c r="N23" s="9"/>
    </row>
    <row r="24" spans="2:14" ht="12.75" customHeight="1" x14ac:dyDescent="0.25">
      <c r="B24" s="43">
        <v>10</v>
      </c>
      <c r="C24" s="18">
        <v>2.5</v>
      </c>
      <c r="D24" s="46" t="s">
        <v>23</v>
      </c>
      <c r="E24" s="69" t="s">
        <v>24</v>
      </c>
      <c r="F24" s="47"/>
      <c r="G24" s="47"/>
      <c r="H24" s="99"/>
      <c r="I24" s="99"/>
      <c r="J24" s="9"/>
      <c r="K24" s="9"/>
      <c r="L24" s="9"/>
      <c r="M24" s="9"/>
      <c r="N24" s="9"/>
    </row>
    <row r="25" spans="2:14" ht="12.75" customHeight="1" x14ac:dyDescent="0.25">
      <c r="C25" s="52"/>
      <c r="D25" s="52"/>
      <c r="E25" s="52"/>
      <c r="F25" s="52"/>
      <c r="G25" s="52"/>
      <c r="H25" s="99"/>
      <c r="I25" s="99"/>
      <c r="J25" s="9"/>
      <c r="K25" s="9"/>
      <c r="L25" s="9"/>
      <c r="M25" s="9"/>
      <c r="N25" s="9"/>
    </row>
    <row r="26" spans="2:14" ht="30" customHeight="1" x14ac:dyDescent="0.25">
      <c r="C26" s="98" t="str">
        <f>CONCATENATE("C&amp;I"," ","Battery System – ",C10," kW / ",C11," kWh")</f>
        <v>C&amp;I Battery System – 7500 kW / 28125 kWh</v>
      </c>
      <c r="D26" s="98"/>
      <c r="E26" s="98"/>
      <c r="F26" s="98"/>
      <c r="G26" s="98"/>
      <c r="H26" s="99"/>
      <c r="I26" s="99"/>
      <c r="J26" s="77"/>
      <c r="K26" s="9"/>
      <c r="L26" s="9"/>
      <c r="M26" s="9"/>
      <c r="N26" s="9"/>
    </row>
    <row r="27" spans="2:14" ht="15.75" customHeight="1" x14ac:dyDescent="0.25">
      <c r="C27" s="100" t="s">
        <v>25</v>
      </c>
      <c r="D27" s="100"/>
      <c r="E27" s="91">
        <f>IF(C19="Not Compliant","Not Passive Compliant",MIN(D59:D60))</f>
        <v>250000</v>
      </c>
      <c r="F27" s="91"/>
      <c r="G27" s="91"/>
      <c r="H27" s="99"/>
      <c r="I27" s="99"/>
      <c r="J27" s="9"/>
      <c r="K27" s="9"/>
      <c r="L27" s="9"/>
      <c r="M27" s="9"/>
      <c r="N27" s="9"/>
    </row>
    <row r="28" spans="2:14" ht="12.75" customHeight="1" x14ac:dyDescent="0.25">
      <c r="C28" s="55" t="s">
        <v>26</v>
      </c>
      <c r="D28" s="70"/>
      <c r="E28" s="70"/>
      <c r="F28" s="55"/>
      <c r="G28" s="42" t="str">
        <f>IF(E27=0.5*C12,"50% of total cost","Rate * kWh (tiered)")</f>
        <v>50% of total cost</v>
      </c>
      <c r="H28" s="99"/>
      <c r="I28" s="99"/>
      <c r="J28" s="9"/>
      <c r="K28" s="9"/>
      <c r="L28" s="9"/>
      <c r="M28" s="9"/>
      <c r="N28" s="9"/>
    </row>
    <row r="29" spans="2:14" ht="15.75" customHeight="1" x14ac:dyDescent="0.25">
      <c r="C29" s="71" t="s">
        <v>27</v>
      </c>
      <c r="D29" s="71"/>
      <c r="E29" s="71"/>
      <c r="F29" s="91">
        <f>$I$44</f>
        <v>10174010.72171966</v>
      </c>
      <c r="G29" s="91"/>
      <c r="H29" s="99"/>
      <c r="I29" s="99"/>
      <c r="J29" s="9"/>
      <c r="K29" s="9"/>
      <c r="L29" s="9"/>
      <c r="M29" s="9"/>
      <c r="N29" s="9"/>
    </row>
    <row r="30" spans="2:14" ht="12.75" customHeight="1" x14ac:dyDescent="0.25">
      <c r="C30" s="55" t="s">
        <v>28</v>
      </c>
      <c r="D30" s="55"/>
      <c r="E30" s="55"/>
      <c r="F30" s="92" t="str">
        <f>$I$45</f>
        <v>Average kW</v>
      </c>
      <c r="G30" s="92"/>
      <c r="H30" s="99"/>
      <c r="I30" s="99"/>
      <c r="J30" s="9"/>
      <c r="K30" s="9"/>
      <c r="L30" s="9"/>
      <c r="M30" s="9"/>
      <c r="N30" s="9"/>
    </row>
    <row r="31" spans="2:14" x14ac:dyDescent="0.25">
      <c r="C31" s="52"/>
      <c r="D31" s="52"/>
      <c r="E31" s="45"/>
      <c r="F31" s="45"/>
      <c r="G31" s="45"/>
      <c r="H31" s="45"/>
      <c r="I31" s="45"/>
      <c r="J31" s="10"/>
      <c r="K31" s="10"/>
    </row>
    <row r="32" spans="2:14" ht="29.25" customHeight="1" x14ac:dyDescent="0.25">
      <c r="C32" s="98" t="s">
        <v>29</v>
      </c>
      <c r="D32" s="98"/>
      <c r="E32" s="98"/>
      <c r="F32" s="98"/>
      <c r="G32" s="98"/>
      <c r="H32" s="98"/>
      <c r="I32" s="98"/>
      <c r="J32" s="10"/>
      <c r="K32" s="10"/>
    </row>
    <row r="33" spans="3:10" x14ac:dyDescent="0.25">
      <c r="C33" s="58" t="s">
        <v>30</v>
      </c>
      <c r="D33" s="58" t="s">
        <v>31</v>
      </c>
      <c r="E33" s="58" t="s">
        <v>32</v>
      </c>
      <c r="F33" s="58" t="s">
        <v>33</v>
      </c>
      <c r="G33" s="58" t="s">
        <v>34</v>
      </c>
      <c r="H33" s="58" t="s">
        <v>35</v>
      </c>
      <c r="I33" s="58" t="s">
        <v>36</v>
      </c>
    </row>
    <row r="34" spans="3:10" x14ac:dyDescent="0.25">
      <c r="C34" s="59" t="s">
        <v>37</v>
      </c>
      <c r="D34" s="60">
        <f>$C$11</f>
        <v>28125</v>
      </c>
      <c r="E34" s="60">
        <f t="shared" ref="E34:E43" si="0">MIN(Nameplate_Power_kW,(D34*$C$22*$C$23)/EventDuration)</f>
        <v>6299.9999999999991</v>
      </c>
      <c r="F34" s="61">
        <f t="shared" ref="F34:F43" si="1">$C$10</f>
        <v>7500</v>
      </c>
      <c r="G34" s="22">
        <f t="shared" ref="G34:G38" si="2">200*MIN($E34, Nameplate_Power_kW)</f>
        <v>1259999.9999999998</v>
      </c>
      <c r="H34" s="61">
        <f t="shared" ref="H34:H38" si="3">25*MIN($E34, Nameplate_Power_kW)</f>
        <v>157499.99999999997</v>
      </c>
      <c r="I34" s="59">
        <f t="shared" ref="I34:I43" si="4">SUM(G34:H34)</f>
        <v>1417499.9999999998</v>
      </c>
      <c r="J34" s="82"/>
    </row>
    <row r="35" spans="3:10" x14ac:dyDescent="0.25">
      <c r="C35" s="62" t="s">
        <v>38</v>
      </c>
      <c r="D35" s="63">
        <f t="shared" ref="D35:D43" si="5">D34*(1-$C$21)</f>
        <v>27421.875</v>
      </c>
      <c r="E35" s="63">
        <f t="shared" si="0"/>
        <v>6142.4999999999991</v>
      </c>
      <c r="F35" s="11">
        <f t="shared" si="1"/>
        <v>7500</v>
      </c>
      <c r="G35" s="21">
        <f t="shared" si="2"/>
        <v>1228499.9999999998</v>
      </c>
      <c r="H35" s="11">
        <f t="shared" si="3"/>
        <v>153562.49999999997</v>
      </c>
      <c r="I35" s="62">
        <f t="shared" si="4"/>
        <v>1382062.4999999998</v>
      </c>
      <c r="J35" s="82"/>
    </row>
    <row r="36" spans="3:10" x14ac:dyDescent="0.25">
      <c r="C36" s="59" t="s">
        <v>39</v>
      </c>
      <c r="D36" s="60">
        <f t="shared" si="5"/>
        <v>26736.328125</v>
      </c>
      <c r="E36" s="60">
        <f t="shared" si="0"/>
        <v>5988.9374999999991</v>
      </c>
      <c r="F36" s="61">
        <f t="shared" si="1"/>
        <v>7500</v>
      </c>
      <c r="G36" s="22">
        <f t="shared" si="2"/>
        <v>1197787.4999999998</v>
      </c>
      <c r="H36" s="61">
        <f t="shared" si="3"/>
        <v>149723.43749999997</v>
      </c>
      <c r="I36" s="59">
        <f t="shared" si="4"/>
        <v>1347510.9374999998</v>
      </c>
      <c r="J36" s="82"/>
    </row>
    <row r="37" spans="3:10" x14ac:dyDescent="0.25">
      <c r="C37" s="62" t="s">
        <v>40</v>
      </c>
      <c r="D37" s="63">
        <f t="shared" si="5"/>
        <v>26067.919921875</v>
      </c>
      <c r="E37" s="63">
        <f t="shared" si="0"/>
        <v>5839.2140624999993</v>
      </c>
      <c r="F37" s="11">
        <f t="shared" si="1"/>
        <v>7500</v>
      </c>
      <c r="G37" s="21">
        <f t="shared" si="2"/>
        <v>1167842.8124999998</v>
      </c>
      <c r="H37" s="11">
        <f t="shared" si="3"/>
        <v>145980.35156249997</v>
      </c>
      <c r="I37" s="62">
        <f t="shared" si="4"/>
        <v>1313823.1640624998</v>
      </c>
      <c r="J37" s="82"/>
    </row>
    <row r="38" spans="3:10" x14ac:dyDescent="0.25">
      <c r="C38" s="59" t="s">
        <v>41</v>
      </c>
      <c r="D38" s="60">
        <f t="shared" si="5"/>
        <v>25416.221923828125</v>
      </c>
      <c r="E38" s="60">
        <f t="shared" si="0"/>
        <v>5693.2337109374994</v>
      </c>
      <c r="F38" s="61">
        <f t="shared" si="1"/>
        <v>7500</v>
      </c>
      <c r="G38" s="22">
        <f t="shared" si="2"/>
        <v>1138646.7421874998</v>
      </c>
      <c r="H38" s="61">
        <f t="shared" si="3"/>
        <v>142330.84277343747</v>
      </c>
      <c r="I38" s="59">
        <f t="shared" si="4"/>
        <v>1280977.5849609373</v>
      </c>
      <c r="J38" s="82"/>
    </row>
    <row r="39" spans="3:10" x14ac:dyDescent="0.25">
      <c r="C39" s="62" t="s">
        <v>42</v>
      </c>
      <c r="D39" s="63">
        <f t="shared" si="5"/>
        <v>24780.816375732422</v>
      </c>
      <c r="E39" s="63">
        <f t="shared" si="0"/>
        <v>5550.902868164063</v>
      </c>
      <c r="F39" s="11">
        <f t="shared" si="1"/>
        <v>7500</v>
      </c>
      <c r="G39" s="21">
        <f>115*MIN($E39, Nameplate_Power_kW)</f>
        <v>638353.8298388673</v>
      </c>
      <c r="H39" s="11">
        <f>15*MIN($E39, Nameplate_Power_kW)</f>
        <v>83263.543022460944</v>
      </c>
      <c r="I39" s="62">
        <f t="shared" si="4"/>
        <v>721617.3728613283</v>
      </c>
      <c r="J39" s="82"/>
    </row>
    <row r="40" spans="3:10" x14ac:dyDescent="0.25">
      <c r="C40" s="59" t="s">
        <v>43</v>
      </c>
      <c r="D40" s="60">
        <f t="shared" si="5"/>
        <v>24161.295966339112</v>
      </c>
      <c r="E40" s="60">
        <f t="shared" si="0"/>
        <v>5412.1302964599608</v>
      </c>
      <c r="F40" s="61">
        <f t="shared" si="1"/>
        <v>7500</v>
      </c>
      <c r="G40" s="22">
        <f>115*MIN($E40, Nameplate_Power_kW)</f>
        <v>622394.98409289552</v>
      </c>
      <c r="H40" s="61">
        <f>15*MIN($E40, Nameplate_Power_kW)</f>
        <v>81181.954446899414</v>
      </c>
      <c r="I40" s="59">
        <f t="shared" si="4"/>
        <v>703576.93853979488</v>
      </c>
      <c r="J40" s="82"/>
    </row>
    <row r="41" spans="3:10" x14ac:dyDescent="0.25">
      <c r="C41" s="62" t="s">
        <v>44</v>
      </c>
      <c r="D41" s="63">
        <f t="shared" si="5"/>
        <v>23557.263567180635</v>
      </c>
      <c r="E41" s="63">
        <f t="shared" si="0"/>
        <v>5276.8270390484622</v>
      </c>
      <c r="F41" s="11">
        <f t="shared" si="1"/>
        <v>7500</v>
      </c>
      <c r="G41" s="21">
        <f>115*MIN($E41, Nameplate_Power_kW)</f>
        <v>606835.10949057317</v>
      </c>
      <c r="H41" s="11">
        <f>15*MIN($E41, Nameplate_Power_kW)</f>
        <v>79152.405585726927</v>
      </c>
      <c r="I41" s="62">
        <f t="shared" si="4"/>
        <v>685987.51507630013</v>
      </c>
      <c r="J41" s="82"/>
    </row>
    <row r="42" spans="3:10" x14ac:dyDescent="0.25">
      <c r="C42" s="59" t="s">
        <v>45</v>
      </c>
      <c r="D42" s="60">
        <f t="shared" si="5"/>
        <v>22968.331978001119</v>
      </c>
      <c r="E42" s="60">
        <f t="shared" si="0"/>
        <v>5144.9063630722503</v>
      </c>
      <c r="F42" s="61">
        <f t="shared" si="1"/>
        <v>7500</v>
      </c>
      <c r="G42" s="22">
        <f>115*MIN($E42, Nameplate_Power_kW)</f>
        <v>591664.23175330879</v>
      </c>
      <c r="H42" s="61">
        <f>15*MIN($E42, Nameplate_Power_kW)</f>
        <v>77173.595446083753</v>
      </c>
      <c r="I42" s="59">
        <f t="shared" si="4"/>
        <v>668837.82719939249</v>
      </c>
      <c r="J42" s="82"/>
    </row>
    <row r="43" spans="3:10" x14ac:dyDescent="0.25">
      <c r="C43" s="62" t="s">
        <v>46</v>
      </c>
      <c r="D43" s="63">
        <f t="shared" si="5"/>
        <v>22394.123678551092</v>
      </c>
      <c r="E43" s="63">
        <f t="shared" si="0"/>
        <v>5016.2837039954447</v>
      </c>
      <c r="F43" s="11">
        <f t="shared" si="1"/>
        <v>7500</v>
      </c>
      <c r="G43" s="21">
        <f>115*MIN($E43, Nameplate_Power_kW)</f>
        <v>576872.62595947611</v>
      </c>
      <c r="H43" s="11">
        <f>15*MIN($E43, Nameplate_Power_kW)</f>
        <v>75244.255559931669</v>
      </c>
      <c r="I43" s="62">
        <f t="shared" si="4"/>
        <v>652116.88151940773</v>
      </c>
      <c r="J43" s="82"/>
    </row>
    <row r="44" spans="3:10" x14ac:dyDescent="0.25">
      <c r="C44" s="59" t="s">
        <v>36</v>
      </c>
      <c r="D44" s="47"/>
      <c r="E44" s="47"/>
      <c r="F44" s="47"/>
      <c r="G44" s="47"/>
      <c r="H44" s="49"/>
      <c r="I44" s="59">
        <f>SUM(I34:I43)</f>
        <v>10174010.72171966</v>
      </c>
    </row>
    <row r="45" spans="3:10" x14ac:dyDescent="0.25">
      <c r="C45"/>
      <c r="D45"/>
      <c r="E45"/>
      <c r="F45"/>
      <c r="G45"/>
      <c r="H45"/>
      <c r="I45" s="72" t="str">
        <f>IF(G34=(C10*200),"Limited by inverter size","Average kW")</f>
        <v>Average kW</v>
      </c>
    </row>
    <row r="46" spans="3:10" x14ac:dyDescent="0.25">
      <c r="C46" s="95" t="s">
        <v>47</v>
      </c>
      <c r="D46" s="95"/>
    </row>
    <row r="47" spans="3:10" x14ac:dyDescent="0.25">
      <c r="C47" s="66" t="s">
        <v>48</v>
      </c>
      <c r="D47" s="35" t="str">
        <f>IF(Annual_Average_Demand_kW&lt;200,"Small C&amp;I",IF(Annual_Average_Demand_kW&lt;500,"Medium C&amp;I","Large C&amp;I"))</f>
        <v>Large C&amp;I</v>
      </c>
      <c r="E47"/>
      <c r="F47"/>
      <c r="G47"/>
      <c r="H47"/>
      <c r="I47"/>
    </row>
    <row r="48" spans="3:10" x14ac:dyDescent="0.25">
      <c r="C48" s="66" t="s">
        <v>49</v>
      </c>
      <c r="D48" s="73" t="str">
        <f>StepSelector</f>
        <v>Tranche 3 Step 1</v>
      </c>
      <c r="E48"/>
      <c r="F48"/>
      <c r="G48"/>
      <c r="H48"/>
      <c r="I48"/>
    </row>
    <row r="49" spans="3:9" x14ac:dyDescent="0.25">
      <c r="C49" s="66" t="s">
        <v>50</v>
      </c>
      <c r="D49" s="36">
        <f>VLOOKUP(StepSelector,T3Steps,2,FALSE)</f>
        <v>182</v>
      </c>
      <c r="E49"/>
      <c r="F49"/>
      <c r="G49"/>
      <c r="H49"/>
      <c r="I49"/>
    </row>
    <row r="50" spans="3:9" x14ac:dyDescent="0.25">
      <c r="C50" s="66" t="s">
        <v>51</v>
      </c>
      <c r="D50" s="36">
        <f>VLOOKUP(StepSelector,T3Steps,3,FALSE)</f>
        <v>159.25</v>
      </c>
      <c r="E50"/>
      <c r="F50"/>
      <c r="G50"/>
      <c r="H50"/>
      <c r="I50"/>
    </row>
    <row r="51" spans="3:9" x14ac:dyDescent="0.25">
      <c r="C51" s="66" t="s">
        <v>52</v>
      </c>
      <c r="D51" s="36">
        <f>VLOOKUP(StepSelector,T3Steps,4,FALSE)</f>
        <v>91</v>
      </c>
      <c r="E51"/>
      <c r="F51"/>
      <c r="G51"/>
      <c r="H51"/>
      <c r="I51"/>
    </row>
    <row r="52" spans="3:9" x14ac:dyDescent="0.25">
      <c r="C52" s="66" t="s">
        <v>53</v>
      </c>
      <c r="D52" s="37">
        <f>Nameplate_Power_kW/Annual_Average_Demand_kW</f>
        <v>1.5</v>
      </c>
      <c r="E52"/>
      <c r="F52"/>
      <c r="G52"/>
      <c r="H52"/>
      <c r="I52"/>
    </row>
    <row r="53" spans="3:9" x14ac:dyDescent="0.25">
      <c r="C53" s="66" t="s">
        <v>54</v>
      </c>
      <c r="D53" s="37">
        <f>Nameplate_Energy_Capacity_kW/Nameplate_Power_kW</f>
        <v>3.75</v>
      </c>
      <c r="E53"/>
      <c r="F53" s="5"/>
      <c r="G53"/>
      <c r="H53"/>
      <c r="I53"/>
    </row>
    <row r="54" spans="3:9" x14ac:dyDescent="0.25">
      <c r="C54" s="66" t="s">
        <v>55</v>
      </c>
      <c r="D54" s="38">
        <f>IF(Customer_Class="Small C&amp;I", IF(Nameplate_Power_kW&lt;200, Nameplate_Power_kW*kWh_kW_Ratio, 200*kWh_kW_Ratio), 0)</f>
        <v>0</v>
      </c>
      <c r="E54"/>
      <c r="F54" s="5"/>
      <c r="G54"/>
      <c r="H54"/>
      <c r="I54"/>
    </row>
    <row r="55" spans="3:9" x14ac:dyDescent="0.25">
      <c r="C55" s="66" t="s">
        <v>56</v>
      </c>
      <c r="D55" s="38">
        <f>IF(Customer_Class="Medium C&amp;I", IF(Nameplate_Power_kW&lt;500, Nameplate_Power_kW*kWh_kW_Ratio, 500*kWh_kW_Ratio),
  IF(Customer_Class="Small C&amp;I",       IF(Nameplate_Power_kW&lt;200, 0, IF(Nameplate_Power_kW&lt;500, (Nameplate_Power_kW-200)*kWh_kW_Ratio, 300*kWh_kW_Ratio)),
  0))</f>
        <v>0</v>
      </c>
      <c r="E55"/>
      <c r="F55" s="5"/>
      <c r="G55"/>
      <c r="H55"/>
      <c r="I55"/>
    </row>
    <row r="56" spans="3:9" x14ac:dyDescent="0.25">
      <c r="C56" s="66" t="s">
        <v>57</v>
      </c>
      <c r="D56" s="38">
        <f>MAX(0, MIN(Nameplate_Power_kW, MAX(2000, Annual_Average_Demand_kW*1.5))*kWh_kW_Ratio-Medium_Tier-Small_Tier)</f>
        <v>28125</v>
      </c>
      <c r="E56"/>
      <c r="F56"/>
      <c r="G56"/>
      <c r="H56"/>
      <c r="I56"/>
    </row>
    <row r="57" spans="3:9" x14ac:dyDescent="0.25">
      <c r="C57" s="66" t="s">
        <v>58</v>
      </c>
      <c r="D57" s="23" t="str">
        <f>IF(SUM(Small_Tier:Large_Tier)=Nameplate_Energy_Capacity_kWH,"OK","ERROR")</f>
        <v>OK</v>
      </c>
      <c r="E57"/>
      <c r="F57"/>
      <c r="G57"/>
      <c r="H57"/>
      <c r="I57"/>
    </row>
    <row r="58" spans="3:9" x14ac:dyDescent="0.25">
      <c r="C58" s="66" t="s">
        <v>59</v>
      </c>
      <c r="D58" s="38">
        <f>IF(C16&lt;&gt;"None",1.25,1)</f>
        <v>1</v>
      </c>
      <c r="E58"/>
      <c r="F58"/>
      <c r="G58"/>
      <c r="H58"/>
      <c r="I58"/>
    </row>
    <row r="59" spans="3:9" x14ac:dyDescent="0.25">
      <c r="C59" s="66" t="s">
        <v>60</v>
      </c>
      <c r="D59" s="39">
        <f>0.5*Total_System_Cost</f>
        <v>250000</v>
      </c>
      <c r="E59"/>
      <c r="F59" s="5"/>
      <c r="G59"/>
      <c r="H59"/>
      <c r="I59"/>
    </row>
    <row r="60" spans="3:9" x14ac:dyDescent="0.25">
      <c r="C60" s="66" t="s">
        <v>61</v>
      </c>
      <c r="D60" s="39">
        <f>(IF(((Small_Tier*SmallTierRate)+(Medium_Tier*MedTierRate)+(Large_Tier*LargeTierRate))&gt;0.5*Total_System_Cost,0.5*Total_System_Cost,((Small_Tier*SmallTierRate)+(Medium_Tier*MedTierRate)+(Large_Tier*LargeTierRate))))*D58</f>
        <v>250000</v>
      </c>
      <c r="E60"/>
      <c r="F60" s="5"/>
      <c r="G60"/>
      <c r="H60"/>
      <c r="I60"/>
    </row>
    <row r="61" spans="3:9" x14ac:dyDescent="0.25">
      <c r="C61" s="66" t="s">
        <v>139</v>
      </c>
      <c r="D61" s="38">
        <f>Nameplate_Capacity_kWh*0.72/3</f>
        <v>6750</v>
      </c>
      <c r="E61"/>
      <c r="F61" s="5"/>
      <c r="G61"/>
      <c r="H61"/>
      <c r="I61"/>
    </row>
    <row r="62" spans="3:9" x14ac:dyDescent="0.25">
      <c r="C62" s="66" t="s">
        <v>140</v>
      </c>
      <c r="D62" s="38">
        <f>Nameplate_Capacity_kWh*0.8/3</f>
        <v>7500</v>
      </c>
      <c r="E62"/>
      <c r="F62"/>
      <c r="G62"/>
      <c r="H62"/>
      <c r="I62"/>
    </row>
    <row r="65" spans="3:10" ht="12.75" customHeight="1" x14ac:dyDescent="0.25">
      <c r="G65" s="9"/>
      <c r="H65" s="9"/>
      <c r="I65" s="9"/>
      <c r="J65" s="9"/>
    </row>
    <row r="66" spans="3:10" x14ac:dyDescent="0.25">
      <c r="C66" s="9"/>
      <c r="G66" s="9"/>
      <c r="H66" s="9"/>
      <c r="I66" s="9"/>
      <c r="J66" s="9"/>
    </row>
    <row r="67" spans="3:10" x14ac:dyDescent="0.25">
      <c r="C67" s="9"/>
      <c r="G67" s="9"/>
      <c r="H67" s="9"/>
      <c r="I67" s="9"/>
      <c r="J67" s="9"/>
    </row>
    <row r="68" spans="3:10" x14ac:dyDescent="0.25">
      <c r="G68" s="9"/>
      <c r="H68" s="9"/>
      <c r="I68" s="9"/>
      <c r="J68" s="9"/>
    </row>
    <row r="69" spans="3:10" x14ac:dyDescent="0.25">
      <c r="F69" s="12"/>
    </row>
    <row r="70" spans="3:10" x14ac:dyDescent="0.25">
      <c r="F70" s="12"/>
    </row>
    <row r="71" spans="3:10" x14ac:dyDescent="0.25">
      <c r="F71" s="12"/>
    </row>
  </sheetData>
  <sheetProtection sheet="1" objects="1" scenarios="1"/>
  <mergeCells count="20">
    <mergeCell ref="C46:D46"/>
    <mergeCell ref="E9:G9"/>
    <mergeCell ref="E15:G15"/>
    <mergeCell ref="C6:G8"/>
    <mergeCell ref="C26:G26"/>
    <mergeCell ref="C32:I32"/>
    <mergeCell ref="H6:I30"/>
    <mergeCell ref="E16:G16"/>
    <mergeCell ref="C17:D17"/>
    <mergeCell ref="C27:D27"/>
    <mergeCell ref="C3:G3"/>
    <mergeCell ref="C4:G5"/>
    <mergeCell ref="C20:D20"/>
    <mergeCell ref="E27:G27"/>
    <mergeCell ref="F30:G30"/>
    <mergeCell ref="E19:G19"/>
    <mergeCell ref="E18:G18"/>
    <mergeCell ref="C9:D9"/>
    <mergeCell ref="C14:D14"/>
    <mergeCell ref="F29:G29"/>
  </mergeCells>
  <conditionalFormatting sqref="C18">
    <cfRule type="containsText" dxfId="21" priority="28" operator="containsText" text="OK">
      <formula>NOT(ISERROR(SEARCH("OK",C18)))</formula>
    </cfRule>
    <cfRule type="containsText" dxfId="20" priority="29" operator="containsText" text="Not Compliant">
      <formula>NOT(ISERROR(SEARCH("Not Compliant",C18)))</formula>
    </cfRule>
  </conditionalFormatting>
  <conditionalFormatting sqref="C19">
    <cfRule type="cellIs" dxfId="19" priority="4" operator="equal">
      <formula>"OK"</formula>
    </cfRule>
    <cfRule type="cellIs" dxfId="18" priority="5" operator="equal">
      <formula>"Warning!"</formula>
    </cfRule>
    <cfRule type="cellIs" dxfId="17" priority="6" operator="equal">
      <formula>"Not Compliant"</formula>
    </cfRule>
  </conditionalFormatting>
  <conditionalFormatting sqref="D57">
    <cfRule type="containsText" dxfId="16" priority="14" operator="containsText" text="Error">
      <formula>NOT(ISERROR(SEARCH("Error",D57)))</formula>
    </cfRule>
    <cfRule type="containsText" dxfId="15" priority="15" operator="containsText" text="OK">
      <formula>NOT(ISERROR(SEARCH("OK",D57)))</formula>
    </cfRule>
  </conditionalFormatting>
  <conditionalFormatting sqref="E27">
    <cfRule type="containsText" dxfId="14" priority="16" operator="containsText" text="Not">
      <formula>NOT(ISERROR(SEARCH("Not",E27)))</formula>
    </cfRule>
  </conditionalFormatting>
  <conditionalFormatting sqref="E15:G16">
    <cfRule type="containsText" dxfId="13" priority="11" operator="containsText" text="this project">
      <formula>NOT(ISERROR(SEARCH("this project",E15)))</formula>
    </cfRule>
  </conditionalFormatting>
  <conditionalFormatting sqref="E16:G16">
    <cfRule type="containsText" dxfId="12" priority="10" operator="containsText" text="small">
      <formula>NOT(ISERROR(SEARCH("small",E16)))</formula>
    </cfRule>
  </conditionalFormatting>
  <conditionalFormatting sqref="E19:G19">
    <cfRule type="containsText" dxfId="11" priority="1" operator="containsText" text="not capable">
      <formula>NOT(ISERROR(SEARCH("not capable",E19)))</formula>
    </cfRule>
    <cfRule type="containsText" dxfId="10" priority="2" operator="containsText" text="100%">
      <formula>NOT(ISERROR(SEARCH("100%",E19)))</formula>
    </cfRule>
    <cfRule type="containsText" dxfId="9" priority="3" operator="containsText" text="Meets minimum threshold for Passive Dispatch.">
      <formula>NOT(ISERROR(SEARCH("Meets minimum threshold for Passive Dispatch.",E19)))</formula>
    </cfRule>
  </conditionalFormatting>
  <conditionalFormatting sqref="F2">
    <cfRule type="containsText" dxfId="8" priority="8" operator="containsText" text="OK">
      <formula>NOT(ISERROR(SEARCH("OK",F2)))</formula>
    </cfRule>
    <cfRule type="containsText" dxfId="7" priority="9" operator="containsText" text="Not Compliant">
      <formula>NOT(ISERROR(SEARCH("Not Compliant",F2)))</formula>
    </cfRule>
  </conditionalFormatting>
  <pageMargins left="0.7" right="0.7" top="0.75" bottom="0.75" header="0.3" footer="0.3"/>
  <pageSetup scale="62" fitToHeight="0" orientation="landscape" verticalDpi="3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419539E-C721-480E-9FBB-AC4333CE802B}">
          <x14:formula1>
            <xm:f>Picklists!$B$2:$B$22</xm:f>
          </x14:formula1>
          <xm:sqref>C22:C23</xm:sqref>
        </x14:dataValidation>
        <x14:dataValidation type="list" allowBlank="1" showInputMessage="1" showErrorMessage="1" xr:uid="{E850E4F9-272C-460C-9E98-67DEC6DFA9AD}">
          <x14:formula1>
            <xm:f>Picklists!$C$2:$C$10</xm:f>
          </x14:formula1>
          <xm:sqref>C21</xm:sqref>
        </x14:dataValidation>
        <x14:dataValidation type="list" allowBlank="1" showInputMessage="1" showErrorMessage="1" promptTitle="Priority Status" prompt="Only customers with an Annual Peak Demand &lt; 200 kW qualify for the &quot;Small Business&quot; adder. Priority Adders are not stackable." xr:uid="{E7F4D56C-D933-4831-82E9-E8F209C233DE}">
          <x14:formula1>
            <xm:f>Picklists!$I$2:$I$6</xm:f>
          </x14:formula1>
          <xm:sqref>C16</xm:sqref>
        </x14:dataValidation>
        <x14:dataValidation type="list" allowBlank="1" showInputMessage="1" showErrorMessage="1" xr:uid="{04C61B06-7119-4523-BF1E-2D25B492BCCC}">
          <x14:formula1>
            <xm:f>Picklists!$J$2:$J$22</xm:f>
          </x14:formula1>
          <xm:sqref>C24</xm:sqref>
        </x14:dataValidation>
        <x14:dataValidation type="list" allowBlank="1" showInputMessage="1" showErrorMessage="1" xr:uid="{89987A6F-7DEC-4FF6-82BB-6D1DF9FDB5AB}">
          <x14:formula1>
            <xm:f>Picklists!$D$2:$D$5</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E30E2-D390-477F-9F8E-2C346F59404C}">
  <sheetPr>
    <pageSetUpPr fitToPage="1"/>
  </sheetPr>
  <dimension ref="B6:AG63"/>
  <sheetViews>
    <sheetView showGridLines="0" zoomScale="115" zoomScaleNormal="115" workbookViewId="0">
      <selection activeCell="C20" sqref="C20"/>
    </sheetView>
  </sheetViews>
  <sheetFormatPr defaultColWidth="9.109375" defaultRowHeight="13.2" x14ac:dyDescent="0.25"/>
  <cols>
    <col min="1" max="2" width="3.44140625" style="6" customWidth="1"/>
    <col min="3" max="3" width="20.88671875" style="6" customWidth="1"/>
    <col min="4" max="4" width="43.5546875" style="6" customWidth="1"/>
    <col min="5" max="5" width="29.109375" style="6" customWidth="1"/>
    <col min="6" max="6" width="22.44140625" style="6" customWidth="1"/>
    <col min="7" max="7" width="15" style="6" customWidth="1"/>
    <col min="8" max="8" width="17.109375" style="6" customWidth="1"/>
    <col min="9" max="9" width="16.88671875" style="6" customWidth="1"/>
    <col min="10" max="10" width="16" style="6" customWidth="1"/>
    <col min="11" max="11" width="26.88671875" style="6" bestFit="1" customWidth="1"/>
    <col min="12" max="13" width="14.109375" style="6" bestFit="1" customWidth="1"/>
    <col min="14" max="17" width="11.33203125" style="6" bestFit="1" customWidth="1"/>
    <col min="18" max="16384" width="9.109375" style="6"/>
  </cols>
  <sheetData>
    <row r="6" spans="2:10" ht="13.8" x14ac:dyDescent="0.25">
      <c r="C6" s="88" t="s">
        <v>62</v>
      </c>
      <c r="D6" s="88"/>
      <c r="E6" s="88"/>
      <c r="F6" s="88"/>
      <c r="G6" s="88"/>
    </row>
    <row r="7" spans="2:10" ht="12.75" customHeight="1" x14ac:dyDescent="0.25">
      <c r="C7" s="106" t="s">
        <v>153</v>
      </c>
      <c r="D7" s="106"/>
      <c r="E7" s="106"/>
      <c r="F7" s="106"/>
      <c r="G7" s="106"/>
    </row>
    <row r="8" spans="2:10" ht="12.75" customHeight="1" x14ac:dyDescent="0.25">
      <c r="C8" s="106"/>
      <c r="D8" s="106"/>
      <c r="E8" s="106"/>
      <c r="F8" s="106"/>
      <c r="G8" s="106"/>
      <c r="H8" s="9"/>
      <c r="I8" s="9"/>
      <c r="J8" s="9"/>
    </row>
    <row r="9" spans="2:10" ht="12.75" customHeight="1" x14ac:dyDescent="0.25">
      <c r="C9" s="106"/>
      <c r="D9" s="106"/>
      <c r="E9" s="106"/>
      <c r="F9" s="106"/>
      <c r="G9" s="106"/>
      <c r="H9" s="9"/>
      <c r="I9" s="9"/>
      <c r="J9" s="9"/>
    </row>
    <row r="10" spans="2:10" ht="12.75" customHeight="1" x14ac:dyDescent="0.25">
      <c r="C10"/>
      <c r="D10"/>
      <c r="E10"/>
      <c r="F10" s="9"/>
      <c r="G10" s="9"/>
      <c r="H10" s="9"/>
      <c r="I10" s="74" t="s">
        <v>159</v>
      </c>
      <c r="J10" s="9"/>
    </row>
    <row r="11" spans="2:10" ht="9.75" customHeight="1" x14ac:dyDescent="0.25">
      <c r="C11" s="97" t="str">
        <f>CONCATENATE("Residential Battery System – ",$C$15," kW / ",$C$16," kWh")</f>
        <v>Residential Battery System – 10 kW / 15 kWh</v>
      </c>
      <c r="D11" s="97"/>
      <c r="E11" s="97"/>
      <c r="F11" s="97"/>
      <c r="G11" s="97"/>
      <c r="H11" s="99" t="s">
        <v>63</v>
      </c>
      <c r="I11" s="99"/>
      <c r="J11" s="9"/>
    </row>
    <row r="12" spans="2:10" ht="9.75" customHeight="1" x14ac:dyDescent="0.25">
      <c r="C12" s="97"/>
      <c r="D12" s="97"/>
      <c r="E12" s="97"/>
      <c r="F12" s="97"/>
      <c r="G12" s="97"/>
      <c r="H12" s="99"/>
      <c r="I12" s="99"/>
      <c r="J12" s="9"/>
    </row>
    <row r="13" spans="2:10" ht="9.75" customHeight="1" x14ac:dyDescent="0.25">
      <c r="C13" s="97"/>
      <c r="D13" s="97"/>
      <c r="E13" s="97"/>
      <c r="F13" s="97"/>
      <c r="G13" s="97"/>
      <c r="H13" s="99"/>
      <c r="I13" s="99"/>
      <c r="J13" s="9"/>
    </row>
    <row r="14" spans="2:10" ht="12.75" customHeight="1" x14ac:dyDescent="0.25">
      <c r="C14" s="90" t="s">
        <v>2</v>
      </c>
      <c r="D14" s="90"/>
      <c r="E14" s="90" t="s">
        <v>3</v>
      </c>
      <c r="F14" s="90"/>
      <c r="G14" s="90"/>
      <c r="H14" s="99"/>
      <c r="I14" s="99"/>
      <c r="J14" s="9"/>
    </row>
    <row r="15" spans="2:10" ht="12.75" customHeight="1" x14ac:dyDescent="0.25">
      <c r="B15" s="43">
        <v>1</v>
      </c>
      <c r="C15" s="24">
        <v>10</v>
      </c>
      <c r="D15" s="46" t="s">
        <v>4</v>
      </c>
      <c r="E15" s="47"/>
      <c r="F15" s="48"/>
      <c r="G15" s="48"/>
      <c r="H15" s="99"/>
      <c r="I15" s="99"/>
      <c r="J15" s="9"/>
    </row>
    <row r="16" spans="2:10" ht="12.75" customHeight="1" x14ac:dyDescent="0.25">
      <c r="B16" s="43">
        <v>2</v>
      </c>
      <c r="C16" s="24">
        <v>15</v>
      </c>
      <c r="D16" s="46" t="s">
        <v>5</v>
      </c>
      <c r="E16" s="47"/>
      <c r="F16" s="48"/>
      <c r="G16" s="48"/>
      <c r="H16" s="99"/>
      <c r="I16" s="99"/>
      <c r="J16" s="9"/>
    </row>
    <row r="17" spans="2:15" x14ac:dyDescent="0.25">
      <c r="B17" s="43">
        <v>3</v>
      </c>
      <c r="C17" s="25">
        <v>40000</v>
      </c>
      <c r="D17" s="46" t="s">
        <v>64</v>
      </c>
      <c r="E17" s="47"/>
      <c r="F17" s="47"/>
      <c r="G17" s="47"/>
      <c r="H17" s="99"/>
      <c r="I17" s="99"/>
    </row>
    <row r="18" spans="2:15" x14ac:dyDescent="0.25">
      <c r="B18" s="43">
        <v>4</v>
      </c>
      <c r="C18" s="25" t="s">
        <v>154</v>
      </c>
      <c r="D18" s="46"/>
      <c r="E18" s="47"/>
      <c r="F18" s="47"/>
      <c r="G18" s="47"/>
      <c r="H18" s="99"/>
      <c r="I18" s="99"/>
    </row>
    <row r="19" spans="2:15" x14ac:dyDescent="0.25">
      <c r="B19" s="12"/>
      <c r="C19" s="90" t="s">
        <v>12</v>
      </c>
      <c r="D19" s="90"/>
      <c r="E19" s="49"/>
      <c r="F19" s="49"/>
      <c r="G19" s="49"/>
      <c r="H19" s="99"/>
      <c r="I19" s="99"/>
    </row>
    <row r="20" spans="2:15" x14ac:dyDescent="0.25">
      <c r="B20" s="43">
        <v>5</v>
      </c>
      <c r="C20" s="26" t="s">
        <v>121</v>
      </c>
      <c r="D20" s="50" t="s">
        <v>66</v>
      </c>
      <c r="E20" s="47"/>
      <c r="F20" s="47"/>
      <c r="G20" s="47"/>
      <c r="H20" s="99"/>
      <c r="I20" s="99"/>
    </row>
    <row r="21" spans="2:15" x14ac:dyDescent="0.25">
      <c r="B21" s="43">
        <v>6</v>
      </c>
      <c r="C21" s="14" t="s">
        <v>67</v>
      </c>
      <c r="D21" s="46" t="s">
        <v>68</v>
      </c>
      <c r="E21" s="102" t="s">
        <v>69</v>
      </c>
      <c r="F21" s="102"/>
      <c r="G21" s="102"/>
      <c r="H21" s="99"/>
      <c r="I21" s="99"/>
    </row>
    <row r="22" spans="2:15" x14ac:dyDescent="0.25">
      <c r="B22" s="43">
        <v>7</v>
      </c>
      <c r="C22" s="14" t="s">
        <v>67</v>
      </c>
      <c r="D22" s="46" t="s">
        <v>70</v>
      </c>
      <c r="E22" s="102" t="s">
        <v>71</v>
      </c>
      <c r="F22" s="102"/>
      <c r="G22" s="102"/>
      <c r="H22" s="99"/>
      <c r="I22" s="99"/>
    </row>
    <row r="23" spans="2:15" x14ac:dyDescent="0.25">
      <c r="B23" s="44"/>
      <c r="C23" s="90" t="s">
        <v>72</v>
      </c>
      <c r="D23" s="90"/>
      <c r="E23" s="49"/>
      <c r="F23" s="49"/>
      <c r="G23" s="49"/>
      <c r="H23" s="99"/>
      <c r="I23" s="99"/>
    </row>
    <row r="24" spans="2:15" ht="32.25" customHeight="1" x14ac:dyDescent="0.25">
      <c r="B24" s="44"/>
      <c r="C24" s="78" t="str">
        <f>IF(AND(NameplatekW&gt;=D62,NameplatekW&lt;D63),"Warning!",IF(NameplatekW&gt;=D63,"OK","Not Compliant"))</f>
        <v>OK</v>
      </c>
      <c r="D24" s="79" t="s">
        <v>15</v>
      </c>
      <c r="E24" s="93" t="str">
        <f>VLOOKUP(C24,Lookup!A1:B3,2,FALSE)</f>
        <v>System design meets minimum threshold for Passive Dispatch.</v>
      </c>
      <c r="F24" s="93"/>
      <c r="G24" s="93"/>
      <c r="H24" s="99"/>
      <c r="I24" s="99"/>
    </row>
    <row r="25" spans="2:15" x14ac:dyDescent="0.25">
      <c r="B25" s="12"/>
      <c r="C25" s="90" t="s">
        <v>16</v>
      </c>
      <c r="D25" s="90"/>
      <c r="E25" s="49"/>
      <c r="F25" s="49"/>
      <c r="G25" s="49"/>
      <c r="H25" s="99"/>
      <c r="I25" s="99"/>
    </row>
    <row r="26" spans="2:15" x14ac:dyDescent="0.25">
      <c r="B26" s="43">
        <v>8</v>
      </c>
      <c r="C26" s="27">
        <v>2.5000000000000001E-2</v>
      </c>
      <c r="D26" s="46" t="s">
        <v>73</v>
      </c>
      <c r="E26" s="102" t="s">
        <v>74</v>
      </c>
      <c r="F26" s="102"/>
      <c r="G26" s="102"/>
      <c r="H26" s="99"/>
      <c r="I26" s="99"/>
      <c r="M26" s="28"/>
    </row>
    <row r="27" spans="2:15" x14ac:dyDescent="0.25">
      <c r="B27" s="43">
        <v>9</v>
      </c>
      <c r="C27" s="29">
        <v>0.8</v>
      </c>
      <c r="D27" s="46" t="s">
        <v>19</v>
      </c>
      <c r="E27" s="102" t="s">
        <v>20</v>
      </c>
      <c r="F27" s="102"/>
      <c r="G27" s="102"/>
      <c r="H27" s="99"/>
      <c r="I27" s="99"/>
      <c r="M27" s="28"/>
    </row>
    <row r="28" spans="2:15" ht="12.75" customHeight="1" x14ac:dyDescent="0.25">
      <c r="B28" s="43">
        <v>10</v>
      </c>
      <c r="C28" s="29">
        <v>0.75</v>
      </c>
      <c r="D28" s="46" t="s">
        <v>75</v>
      </c>
      <c r="E28" s="104" t="s">
        <v>22</v>
      </c>
      <c r="F28" s="104"/>
      <c r="G28" s="104"/>
      <c r="H28" s="99"/>
      <c r="I28" s="99"/>
    </row>
    <row r="29" spans="2:15" x14ac:dyDescent="0.25">
      <c r="B29" s="43">
        <v>11</v>
      </c>
      <c r="C29" s="30">
        <v>2.5</v>
      </c>
      <c r="D29" s="46" t="s">
        <v>23</v>
      </c>
      <c r="E29" s="104" t="s">
        <v>76</v>
      </c>
      <c r="F29" s="104"/>
      <c r="G29" s="104"/>
      <c r="H29" s="99"/>
      <c r="I29" s="99"/>
    </row>
    <row r="30" spans="2:15" x14ac:dyDescent="0.25">
      <c r="C30" s="52"/>
      <c r="D30" s="52"/>
      <c r="E30" s="45"/>
      <c r="F30" s="45"/>
      <c r="G30" s="45"/>
      <c r="H30" s="99"/>
      <c r="I30" s="99"/>
    </row>
    <row r="31" spans="2:15" ht="30" customHeight="1" x14ac:dyDescent="0.25">
      <c r="C31" s="98" t="str">
        <f>CONCATENATE("Residential Battery System – ",$C$15," kW / ",$C$16," kWh")</f>
        <v>Residential Battery System – 10 kW / 15 kWh</v>
      </c>
      <c r="D31" s="98"/>
      <c r="E31" s="98"/>
      <c r="F31" s="98"/>
      <c r="G31" s="98"/>
      <c r="H31" s="99"/>
      <c r="I31" s="99"/>
      <c r="J31" s="31"/>
      <c r="M31" s="31"/>
      <c r="O31" s="32"/>
    </row>
    <row r="32" spans="2:15" ht="15.75" customHeight="1" x14ac:dyDescent="0.25">
      <c r="C32" s="53" t="s">
        <v>77</v>
      </c>
      <c r="D32" s="53"/>
      <c r="E32" s="101">
        <f>IF(C24="Not Compliant","Not Passive Compliant",MIN($G$33*$C$16,0.5*$C$17,16000))</f>
        <v>6750</v>
      </c>
      <c r="F32" s="101"/>
      <c r="G32" s="101"/>
      <c r="H32" s="99"/>
      <c r="I32" s="99"/>
      <c r="M32" s="31"/>
      <c r="O32" s="32"/>
    </row>
    <row r="33" spans="2:33" x14ac:dyDescent="0.25">
      <c r="C33" s="103" t="s">
        <v>78</v>
      </c>
      <c r="D33" s="103"/>
      <c r="E33" s="103"/>
      <c r="F33" s="47"/>
      <c r="G33" s="54">
        <f>MAX(D58:D60)*D61</f>
        <v>450</v>
      </c>
      <c r="H33" s="99"/>
      <c r="I33" s="99"/>
    </row>
    <row r="34" spans="2:33" x14ac:dyDescent="0.25">
      <c r="C34" s="103" t="s">
        <v>26</v>
      </c>
      <c r="D34" s="103"/>
      <c r="E34" s="103"/>
      <c r="F34" s="47"/>
      <c r="G34" s="76" t="str">
        <f>IF(E32=16000,"$16,000 cap",IF(E32=0.5*$C$17,"50% of total project cost","Rate * kWh"))</f>
        <v>Rate * kWh</v>
      </c>
      <c r="H34" s="99"/>
      <c r="I34" s="99"/>
    </row>
    <row r="35" spans="2:33" ht="20.399999999999999" x14ac:dyDescent="0.25">
      <c r="B35" s="12"/>
      <c r="C35" s="105" t="s">
        <v>79</v>
      </c>
      <c r="D35" s="105"/>
      <c r="E35" s="105"/>
      <c r="F35" s="101">
        <f>$I$50</f>
        <v>5813.720412411235</v>
      </c>
      <c r="G35" s="101"/>
      <c r="H35" s="99"/>
      <c r="I35" s="99"/>
    </row>
    <row r="36" spans="2:33" x14ac:dyDescent="0.25">
      <c r="C36" s="55" t="s">
        <v>28</v>
      </c>
      <c r="D36" s="55"/>
      <c r="E36" s="55"/>
      <c r="F36" s="47"/>
      <c r="G36" s="42" t="str">
        <f>$I$51</f>
        <v>Average kW</v>
      </c>
      <c r="H36" s="99"/>
      <c r="I36" s="99"/>
    </row>
    <row r="37" spans="2:33" x14ac:dyDescent="0.25">
      <c r="C37" s="52"/>
      <c r="D37" s="52"/>
      <c r="E37" s="52"/>
      <c r="F37" s="52"/>
      <c r="G37" s="56"/>
      <c r="H37" s="56"/>
      <c r="I37" s="52"/>
    </row>
    <row r="38" spans="2:33" ht="30" customHeight="1" x14ac:dyDescent="0.25">
      <c r="C38" s="98" t="s">
        <v>29</v>
      </c>
      <c r="D38" s="98"/>
      <c r="E38" s="98"/>
      <c r="F38" s="98"/>
      <c r="G38" s="98"/>
      <c r="H38" s="98"/>
      <c r="I38" s="98"/>
    </row>
    <row r="39" spans="2:33" x14ac:dyDescent="0.25">
      <c r="C39" s="57" t="s">
        <v>30</v>
      </c>
      <c r="D39" s="58" t="s">
        <v>31</v>
      </c>
      <c r="E39" s="58" t="s">
        <v>80</v>
      </c>
      <c r="F39" s="58" t="s">
        <v>32</v>
      </c>
      <c r="G39" s="58" t="s">
        <v>34</v>
      </c>
      <c r="H39" s="58" t="s">
        <v>35</v>
      </c>
      <c r="I39" s="58" t="s">
        <v>36</v>
      </c>
    </row>
    <row r="40" spans="2:33" x14ac:dyDescent="0.25">
      <c r="C40" s="59" t="s">
        <v>37</v>
      </c>
      <c r="D40" s="60">
        <f>C16</f>
        <v>15</v>
      </c>
      <c r="E40" s="60">
        <f>D40*$C$27</f>
        <v>12</v>
      </c>
      <c r="F40" s="40">
        <f t="shared" ref="F40:F49" si="0">MIN($C$15,(E40*$C$28)/$C$29)</f>
        <v>3.6</v>
      </c>
      <c r="G40" s="22">
        <f>200*(MIN(F40,$C$15))</f>
        <v>720</v>
      </c>
      <c r="H40" s="61">
        <f>25*(MIN(F40,$C$15))</f>
        <v>90</v>
      </c>
      <c r="I40" s="59">
        <f>SUM(G40:H40)</f>
        <v>810</v>
      </c>
      <c r="K40" s="31"/>
      <c r="L40" s="34"/>
    </row>
    <row r="41" spans="2:33" s="12" customFormat="1" x14ac:dyDescent="0.25">
      <c r="B41" s="6"/>
      <c r="C41" s="62" t="s">
        <v>38</v>
      </c>
      <c r="D41" s="63">
        <f t="shared" ref="D41:D49" si="1">D40*(1-$C$26)</f>
        <v>14.625</v>
      </c>
      <c r="E41" s="63">
        <f t="shared" ref="E41:E49" si="2">D41*$C$27</f>
        <v>11.700000000000001</v>
      </c>
      <c r="F41" s="33">
        <f t="shared" si="0"/>
        <v>3.5100000000000002</v>
      </c>
      <c r="G41" s="21">
        <f>200*(MIN(F41,$C$15))</f>
        <v>702</v>
      </c>
      <c r="H41" s="11">
        <f>25*(MIN(F41,$C$15))</f>
        <v>87.75</v>
      </c>
      <c r="I41" s="62">
        <f t="shared" ref="I41:I49" si="3">SUM(G41:H41)</f>
        <v>789.75</v>
      </c>
      <c r="L41" s="34"/>
      <c r="O41" s="6"/>
      <c r="P41" s="6"/>
      <c r="Q41" s="6"/>
      <c r="R41" s="6"/>
      <c r="S41" s="6"/>
      <c r="T41" s="6"/>
      <c r="U41" s="6"/>
      <c r="V41" s="6"/>
      <c r="W41" s="6"/>
      <c r="X41" s="6"/>
      <c r="Y41" s="6"/>
      <c r="Z41" s="6"/>
      <c r="AA41" s="6"/>
      <c r="AB41" s="6"/>
      <c r="AC41" s="6"/>
      <c r="AD41" s="6"/>
      <c r="AE41" s="6"/>
      <c r="AF41" s="6"/>
      <c r="AG41" s="6"/>
    </row>
    <row r="42" spans="2:33" x14ac:dyDescent="0.25">
      <c r="C42" s="59" t="s">
        <v>39</v>
      </c>
      <c r="D42" s="60">
        <f t="shared" si="1"/>
        <v>14.259375</v>
      </c>
      <c r="E42" s="60">
        <f t="shared" si="2"/>
        <v>11.407500000000001</v>
      </c>
      <c r="F42" s="40">
        <f t="shared" si="0"/>
        <v>3.4222500000000005</v>
      </c>
      <c r="G42" s="22">
        <f>200*(MIN(F42,$C$15))</f>
        <v>684.45</v>
      </c>
      <c r="H42" s="61">
        <f>25*(MIN(F42,$C$15))</f>
        <v>85.556250000000006</v>
      </c>
      <c r="I42" s="59">
        <f t="shared" si="3"/>
        <v>770.00625000000002</v>
      </c>
      <c r="L42" s="34"/>
    </row>
    <row r="43" spans="2:33" x14ac:dyDescent="0.25">
      <c r="C43" s="62" t="s">
        <v>40</v>
      </c>
      <c r="D43" s="63">
        <f t="shared" si="1"/>
        <v>13.902890625</v>
      </c>
      <c r="E43" s="63">
        <f t="shared" si="2"/>
        <v>11.1223125</v>
      </c>
      <c r="F43" s="33">
        <f t="shared" si="0"/>
        <v>3.3366937499999998</v>
      </c>
      <c r="G43" s="21">
        <f>200*(MIN(F43,$C$15))</f>
        <v>667.33875</v>
      </c>
      <c r="H43" s="11">
        <f>25*(MIN(F43,$C$15))</f>
        <v>83.417343750000001</v>
      </c>
      <c r="I43" s="62">
        <f t="shared" si="3"/>
        <v>750.75609374999999</v>
      </c>
      <c r="L43" s="34"/>
    </row>
    <row r="44" spans="2:33" x14ac:dyDescent="0.25">
      <c r="C44" s="59" t="s">
        <v>41</v>
      </c>
      <c r="D44" s="60">
        <f t="shared" si="1"/>
        <v>13.555318359374999</v>
      </c>
      <c r="E44" s="60">
        <f t="shared" si="2"/>
        <v>10.844254687499999</v>
      </c>
      <c r="F44" s="40">
        <f t="shared" si="0"/>
        <v>3.2532764062499999</v>
      </c>
      <c r="G44" s="22">
        <f>200*(MIN(F44,$C$15))</f>
        <v>650.65528125000003</v>
      </c>
      <c r="H44" s="61">
        <f>25*(MIN(F44,$C$15))</f>
        <v>81.331910156250004</v>
      </c>
      <c r="I44" s="59">
        <f t="shared" si="3"/>
        <v>731.98719140625008</v>
      </c>
      <c r="L44" s="34"/>
    </row>
    <row r="45" spans="2:33" x14ac:dyDescent="0.25">
      <c r="C45" s="62" t="s">
        <v>42</v>
      </c>
      <c r="D45" s="63">
        <f t="shared" si="1"/>
        <v>13.216435400390624</v>
      </c>
      <c r="E45" s="63">
        <f t="shared" si="2"/>
        <v>10.5731483203125</v>
      </c>
      <c r="F45" s="33">
        <f t="shared" si="0"/>
        <v>3.17194449609375</v>
      </c>
      <c r="G45" s="21">
        <f>115*(MIN(F45,$C$15))</f>
        <v>364.77361705078124</v>
      </c>
      <c r="H45" s="11">
        <f>15*(MIN(F45,$C$15))</f>
        <v>47.579167441406248</v>
      </c>
      <c r="I45" s="62">
        <f t="shared" si="3"/>
        <v>412.35278449218748</v>
      </c>
      <c r="L45" s="34"/>
    </row>
    <row r="46" spans="2:33" x14ac:dyDescent="0.25">
      <c r="C46" s="59" t="s">
        <v>43</v>
      </c>
      <c r="D46" s="60">
        <f t="shared" si="1"/>
        <v>12.886024515380859</v>
      </c>
      <c r="E46" s="60">
        <f t="shared" si="2"/>
        <v>10.308819612304688</v>
      </c>
      <c r="F46" s="40">
        <f t="shared" si="0"/>
        <v>3.0926458836914064</v>
      </c>
      <c r="G46" s="22">
        <f>115*(MIN(F46,$C$15))</f>
        <v>355.65427662451174</v>
      </c>
      <c r="H46" s="61">
        <f>15*(MIN(F46,$C$15))</f>
        <v>46.389688255371098</v>
      </c>
      <c r="I46" s="59">
        <f t="shared" si="3"/>
        <v>402.04396487988282</v>
      </c>
      <c r="L46" s="34"/>
    </row>
    <row r="47" spans="2:33" x14ac:dyDescent="0.25">
      <c r="C47" s="62" t="s">
        <v>44</v>
      </c>
      <c r="D47" s="63">
        <f t="shared" si="1"/>
        <v>12.563873902496336</v>
      </c>
      <c r="E47" s="63">
        <f t="shared" si="2"/>
        <v>10.051099121997069</v>
      </c>
      <c r="F47" s="33">
        <f t="shared" si="0"/>
        <v>3.0153297365991207</v>
      </c>
      <c r="G47" s="21">
        <f>115*(MIN(F47,$C$15))</f>
        <v>346.76291970889889</v>
      </c>
      <c r="H47" s="11">
        <f>15*(MIN(F47,$C$15))</f>
        <v>45.229946048986811</v>
      </c>
      <c r="I47" s="62">
        <f t="shared" si="3"/>
        <v>391.99286575788568</v>
      </c>
      <c r="L47" s="34"/>
    </row>
    <row r="48" spans="2:33" x14ac:dyDescent="0.25">
      <c r="C48" s="59" t="s">
        <v>45</v>
      </c>
      <c r="D48" s="60">
        <f t="shared" si="1"/>
        <v>12.249777054933928</v>
      </c>
      <c r="E48" s="60">
        <f t="shared" si="2"/>
        <v>9.7998216439471424</v>
      </c>
      <c r="F48" s="40">
        <f t="shared" si="0"/>
        <v>2.9399464931841428</v>
      </c>
      <c r="G48" s="22">
        <f>115*(MIN(F48,$C$15))</f>
        <v>338.09384671617642</v>
      </c>
      <c r="H48" s="61">
        <f>15*(MIN(F48,$C$15))</f>
        <v>44.09919739776214</v>
      </c>
      <c r="I48" s="59">
        <f t="shared" si="3"/>
        <v>382.19304411393853</v>
      </c>
      <c r="L48" s="34"/>
    </row>
    <row r="49" spans="3:12" x14ac:dyDescent="0.25">
      <c r="C49" s="62" t="s">
        <v>46</v>
      </c>
      <c r="D49" s="63">
        <f t="shared" si="1"/>
        <v>11.943532628560579</v>
      </c>
      <c r="E49" s="63">
        <f t="shared" si="2"/>
        <v>9.5548261028484642</v>
      </c>
      <c r="F49" s="33">
        <f t="shared" si="0"/>
        <v>2.8664478308545389</v>
      </c>
      <c r="G49" s="21">
        <f>115*(MIN(F49,$C$15))</f>
        <v>329.64150054827195</v>
      </c>
      <c r="H49" s="11">
        <f>15*(MIN(F49,$C$15))</f>
        <v>42.996717462818083</v>
      </c>
      <c r="I49" s="62">
        <f t="shared" si="3"/>
        <v>372.63821801109003</v>
      </c>
      <c r="L49" s="34"/>
    </row>
    <row r="50" spans="3:12" x14ac:dyDescent="0.25">
      <c r="C50" s="59" t="s">
        <v>36</v>
      </c>
      <c r="D50" s="47"/>
      <c r="E50" s="47"/>
      <c r="F50" s="47"/>
      <c r="G50" s="47"/>
      <c r="H50" s="59"/>
      <c r="I50" s="41">
        <f>SUM(I40:I49)</f>
        <v>5813.720412411235</v>
      </c>
      <c r="J50" s="12"/>
    </row>
    <row r="51" spans="3:12" x14ac:dyDescent="0.25">
      <c r="I51" s="64" t="str">
        <f>IF(G40=(C15*200),"Limited by inverter size","Average kW")</f>
        <v>Average kW</v>
      </c>
    </row>
    <row r="55" spans="3:12" x14ac:dyDescent="0.25">
      <c r="F55" s="65"/>
    </row>
    <row r="57" spans="3:12" x14ac:dyDescent="0.25">
      <c r="C57" s="95" t="s">
        <v>47</v>
      </c>
      <c r="D57" s="95"/>
    </row>
    <row r="58" spans="3:12" x14ac:dyDescent="0.25">
      <c r="C58" s="66" t="s">
        <v>100</v>
      </c>
      <c r="D58" s="36">
        <f>IF(C18="Tranche 1 Step 1",250,212.5)</f>
        <v>212.5</v>
      </c>
    </row>
    <row r="59" spans="3:12" x14ac:dyDescent="0.25">
      <c r="C59" s="66" t="s">
        <v>81</v>
      </c>
      <c r="D59" s="36">
        <f>IF(C20="N/A",D58,450)</f>
        <v>450</v>
      </c>
    </row>
    <row r="60" spans="3:12" x14ac:dyDescent="0.25">
      <c r="C60" s="66" t="s">
        <v>82</v>
      </c>
      <c r="D60" s="36">
        <f>IF(C21="Yes",600,D59)</f>
        <v>450</v>
      </c>
    </row>
    <row r="61" spans="3:12" x14ac:dyDescent="0.25">
      <c r="C61" s="66" t="s">
        <v>83</v>
      </c>
      <c r="D61" s="75">
        <f>IF(C22="Yes",1.5,1)</f>
        <v>1</v>
      </c>
    </row>
    <row r="62" spans="3:12" x14ac:dyDescent="0.25">
      <c r="C62" s="66" t="s">
        <v>139</v>
      </c>
      <c r="D62" s="38">
        <f>NameplatekWh*0.72/3</f>
        <v>3.5999999999999996</v>
      </c>
    </row>
    <row r="63" spans="3:12" x14ac:dyDescent="0.25">
      <c r="C63" s="66" t="s">
        <v>140</v>
      </c>
      <c r="D63" s="38">
        <f>NameplatekWh*0.8/3</f>
        <v>4</v>
      </c>
    </row>
  </sheetData>
  <sheetProtection sheet="1" objects="1" scenarios="1"/>
  <mergeCells count="24">
    <mergeCell ref="C11:G13"/>
    <mergeCell ref="C7:G9"/>
    <mergeCell ref="C6:G6"/>
    <mergeCell ref="C25:D25"/>
    <mergeCell ref="C19:D19"/>
    <mergeCell ref="C14:D14"/>
    <mergeCell ref="E24:G24"/>
    <mergeCell ref="E14:G14"/>
    <mergeCell ref="E32:G32"/>
    <mergeCell ref="C57:D57"/>
    <mergeCell ref="C23:D23"/>
    <mergeCell ref="E22:G22"/>
    <mergeCell ref="E21:G21"/>
    <mergeCell ref="C31:G31"/>
    <mergeCell ref="F35:G35"/>
    <mergeCell ref="C38:I38"/>
    <mergeCell ref="H11:I36"/>
    <mergeCell ref="C33:E33"/>
    <mergeCell ref="E28:G28"/>
    <mergeCell ref="E29:G29"/>
    <mergeCell ref="C34:E34"/>
    <mergeCell ref="C35:E35"/>
    <mergeCell ref="E26:G26"/>
    <mergeCell ref="E27:G27"/>
  </mergeCells>
  <phoneticPr fontId="5" type="noConversion"/>
  <conditionalFormatting sqref="C24">
    <cfRule type="cellIs" dxfId="6" priority="7" operator="equal">
      <formula>"OK"</formula>
    </cfRule>
    <cfRule type="cellIs" dxfId="5" priority="8" operator="equal">
      <formula>"Warning!"</formula>
    </cfRule>
    <cfRule type="cellIs" dxfId="4" priority="9" operator="equal">
      <formula>"Not Compliant"</formula>
    </cfRule>
  </conditionalFormatting>
  <conditionalFormatting sqref="E32">
    <cfRule type="containsText" dxfId="3" priority="11" operator="containsText" text="Not">
      <formula>NOT(ISERROR(SEARCH("Not",E32)))</formula>
    </cfRule>
  </conditionalFormatting>
  <conditionalFormatting sqref="E24:G24">
    <cfRule type="containsText" dxfId="2" priority="1" operator="containsText" text="not capable">
      <formula>NOT(ISERROR(SEARCH("not capable",E24)))</formula>
    </cfRule>
    <cfRule type="containsText" dxfId="1" priority="2" operator="containsText" text="100%">
      <formula>NOT(ISERROR(SEARCH("100%",E24)))</formula>
    </cfRule>
    <cfRule type="containsText" dxfId="0" priority="3" operator="containsText" text="Meets minimum threshold for Passive Dispatch.">
      <formula>NOT(ISERROR(SEARCH("Meets minimum threshold for Passive Dispatch.",E24)))</formula>
    </cfRule>
  </conditionalFormatting>
  <hyperlinks>
    <hyperlink ref="D20" r:id="rId1" xr:uid="{85FD1A7E-CE7C-4CB1-9B61-B30FE28F1D77}"/>
  </hyperlinks>
  <pageMargins left="0.7" right="0.7" top="0.75" bottom="0.75" header="0.3" footer="0.3"/>
  <pageSetup scale="62" orientation="landscape"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2B553F2-5AF8-4C48-917C-82D96DA8928D}">
          <x14:formula1>
            <xm:f>Picklists!$B$2:$B$22</xm:f>
          </x14:formula1>
          <xm:sqref>C27:C28</xm:sqref>
        </x14:dataValidation>
        <x14:dataValidation type="list" allowBlank="1" showInputMessage="1" showErrorMessage="1" xr:uid="{A45D5741-DD5F-443D-A6B1-75845B3F13E3}">
          <x14:formula1>
            <xm:f>Picklists!$A$2:$A$3</xm:f>
          </x14:formula1>
          <xm:sqref>C21:C22</xm:sqref>
        </x14:dataValidation>
        <x14:dataValidation type="list" allowBlank="1" showInputMessage="1" showErrorMessage="1" xr:uid="{22EAB991-DD01-4AEC-AAC2-5F7E524CF863}">
          <x14:formula1>
            <xm:f>Picklists!$C$2:$C$22</xm:f>
          </x14:formula1>
          <xm:sqref>C26</xm:sqref>
        </x14:dataValidation>
        <x14:dataValidation type="list" errorStyle="information" allowBlank="1" showInputMessage="1" showErrorMessage="1" xr:uid="{4BF88DC3-E92E-4ACF-A945-69BFA52C02C9}">
          <x14:formula1>
            <xm:f>Picklists!$H$2:$H$39</xm:f>
          </x14:formula1>
          <xm:sqref>C20</xm:sqref>
        </x14:dataValidation>
        <x14:dataValidation type="list" allowBlank="1" showInputMessage="1" showErrorMessage="1" xr:uid="{93C43851-08B3-4BC3-8AF7-BC01DA0AE6E7}">
          <x14:formula1>
            <xm:f>Picklists!$J$2:$J$22</xm:f>
          </x14:formula1>
          <xm:sqref>C29</xm:sqref>
        </x14:dataValidation>
        <x14:dataValidation type="list" allowBlank="1" showInputMessage="1" showErrorMessage="1" xr:uid="{C496A83A-10C0-4FBB-B782-A1C8359FE14A}">
          <x14:formula1>
            <xm:f>Picklists!$D$15:$D$16</xm:f>
          </x14:formula1>
          <xm:sqref>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7153-FD36-47FD-A8E0-BF568FD7F21F}">
  <dimension ref="A1:E11"/>
  <sheetViews>
    <sheetView workbookViewId="0">
      <selection activeCell="D5" sqref="D5"/>
    </sheetView>
  </sheetViews>
  <sheetFormatPr defaultRowHeight="13.2" x14ac:dyDescent="0.25"/>
  <cols>
    <col min="1" max="1" width="9.109375" bestFit="1" customWidth="1"/>
    <col min="2" max="2" width="15.44140625" bestFit="1" customWidth="1"/>
    <col min="3" max="3" width="12.109375" bestFit="1" customWidth="1"/>
    <col min="4" max="4" width="86.77734375" bestFit="1" customWidth="1"/>
    <col min="5" max="5" width="3.44140625" bestFit="1" customWidth="1"/>
  </cols>
  <sheetData>
    <row r="1" spans="1:5" x14ac:dyDescent="0.25">
      <c r="A1" s="86" t="s">
        <v>144</v>
      </c>
      <c r="B1" s="86" t="s">
        <v>145</v>
      </c>
      <c r="C1" s="86" t="s">
        <v>146</v>
      </c>
      <c r="D1" s="86" t="s">
        <v>149</v>
      </c>
      <c r="E1" s="86" t="s">
        <v>157</v>
      </c>
    </row>
    <row r="2" spans="1:5" x14ac:dyDescent="0.25">
      <c r="A2" s="83">
        <v>45880</v>
      </c>
      <c r="B2" s="85" t="s">
        <v>147</v>
      </c>
      <c r="C2" s="85">
        <v>6.2</v>
      </c>
      <c r="D2" t="s">
        <v>150</v>
      </c>
      <c r="E2" t="s">
        <v>158</v>
      </c>
    </row>
    <row r="3" spans="1:5" x14ac:dyDescent="0.25">
      <c r="A3" s="83">
        <v>45880</v>
      </c>
      <c r="B3" s="85" t="s">
        <v>147</v>
      </c>
      <c r="C3" s="85">
        <v>6.2</v>
      </c>
      <c r="D3" t="s">
        <v>148</v>
      </c>
      <c r="E3" t="s">
        <v>158</v>
      </c>
    </row>
    <row r="4" spans="1:5" x14ac:dyDescent="0.25">
      <c r="A4" s="83">
        <v>45880</v>
      </c>
      <c r="B4" s="85" t="s">
        <v>147</v>
      </c>
      <c r="C4" s="85">
        <v>6.2</v>
      </c>
      <c r="D4" t="s">
        <v>155</v>
      </c>
      <c r="E4" t="s">
        <v>158</v>
      </c>
    </row>
    <row r="5" spans="1:5" x14ac:dyDescent="0.25">
      <c r="A5" s="83">
        <v>45995</v>
      </c>
      <c r="B5" s="85">
        <v>6.2</v>
      </c>
      <c r="C5" s="85">
        <v>6.3</v>
      </c>
      <c r="D5" s="107" t="s">
        <v>156</v>
      </c>
      <c r="E5" t="s">
        <v>158</v>
      </c>
    </row>
    <row r="11" spans="1:5" x14ac:dyDescent="0.25">
      <c r="D11" s="84"/>
    </row>
  </sheetData>
  <sheetProtection sheet="1" objects="1" scenarios="1"/>
  <hyperlinks>
    <hyperlink ref="D5" r:id="rId1" xr:uid="{BD70FF95-7B3B-4FE6-B77A-3D6397321B8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A9F7-99A3-4947-AAEE-F10522B196D2}">
  <dimension ref="A1:B3"/>
  <sheetViews>
    <sheetView workbookViewId="0">
      <selection activeCell="B3" sqref="B3"/>
    </sheetView>
  </sheetViews>
  <sheetFormatPr defaultRowHeight="13.2" x14ac:dyDescent="0.25"/>
  <sheetData>
    <row r="1" spans="1:2" x14ac:dyDescent="0.25">
      <c r="A1" s="80" t="s">
        <v>136</v>
      </c>
      <c r="B1" s="80" t="s">
        <v>141</v>
      </c>
    </row>
    <row r="2" spans="1:2" x14ac:dyDescent="0.25">
      <c r="A2" s="80" t="s">
        <v>137</v>
      </c>
      <c r="B2" s="80" t="s">
        <v>143</v>
      </c>
    </row>
    <row r="3" spans="1:2" x14ac:dyDescent="0.25">
      <c r="A3" s="81" t="s">
        <v>138</v>
      </c>
      <c r="B3" s="80"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882A-B421-4921-B91E-92AC6D4C421A}">
  <dimension ref="A1:Y39"/>
  <sheetViews>
    <sheetView workbookViewId="0">
      <selection activeCell="N15" sqref="N15"/>
    </sheetView>
  </sheetViews>
  <sheetFormatPr defaultRowHeight="13.2" x14ac:dyDescent="0.25"/>
  <cols>
    <col min="1" max="1" width="4.33203125" bestFit="1" customWidth="1"/>
    <col min="2" max="2" width="15.5546875" bestFit="1" customWidth="1"/>
    <col min="3" max="3" width="14.5546875" bestFit="1" customWidth="1"/>
    <col min="4" max="4" width="16.88671875" bestFit="1" customWidth="1"/>
    <col min="5" max="5" width="10.5546875" bestFit="1" customWidth="1"/>
    <col min="6" max="6" width="18.109375" bestFit="1" customWidth="1"/>
    <col min="7" max="7" width="11.109375" bestFit="1" customWidth="1"/>
    <col min="8" max="8" width="35.6640625" bestFit="1" customWidth="1"/>
    <col min="9" max="9" width="18.109375" bestFit="1" customWidth="1"/>
    <col min="12" max="12" width="18.33203125" customWidth="1"/>
    <col min="13" max="13" width="7" bestFit="1" customWidth="1"/>
    <col min="14" max="14" width="5.88671875" bestFit="1" customWidth="1"/>
    <col min="16" max="16" width="21" customWidth="1"/>
    <col min="17" max="17" width="18" bestFit="1" customWidth="1"/>
    <col min="18" max="18" width="19.6640625" bestFit="1" customWidth="1"/>
    <col min="19" max="19" width="11.44140625" bestFit="1" customWidth="1"/>
    <col min="22" max="22" width="15.33203125" bestFit="1" customWidth="1"/>
    <col min="24" max="24" width="10.44140625" customWidth="1"/>
  </cols>
  <sheetData>
    <row r="1" spans="1:25" s="2" customFormat="1" x14ac:dyDescent="0.25">
      <c r="A1" s="2" t="s">
        <v>84</v>
      </c>
      <c r="B1" s="2" t="s">
        <v>85</v>
      </c>
      <c r="C1" s="2" t="s">
        <v>86</v>
      </c>
      <c r="D1" s="2" t="s">
        <v>87</v>
      </c>
      <c r="E1" s="2" t="s">
        <v>88</v>
      </c>
      <c r="F1" s="2" t="s">
        <v>89</v>
      </c>
      <c r="G1" s="2" t="s">
        <v>90</v>
      </c>
      <c r="H1" s="2" t="s">
        <v>160</v>
      </c>
      <c r="I1" s="2" t="s">
        <v>91</v>
      </c>
      <c r="J1" s="2" t="s">
        <v>92</v>
      </c>
      <c r="V1" s="2" t="s">
        <v>49</v>
      </c>
      <c r="W1" s="2" t="s">
        <v>93</v>
      </c>
      <c r="X1" s="2" t="s">
        <v>94</v>
      </c>
      <c r="Y1" s="2" t="s">
        <v>95</v>
      </c>
    </row>
    <row r="2" spans="1:25" x14ac:dyDescent="0.25">
      <c r="A2" t="s">
        <v>96</v>
      </c>
      <c r="B2" s="1">
        <v>1</v>
      </c>
      <c r="C2" s="3">
        <v>0</v>
      </c>
      <c r="D2" t="s">
        <v>97</v>
      </c>
      <c r="E2" t="s">
        <v>98</v>
      </c>
      <c r="F2" t="s">
        <v>99</v>
      </c>
      <c r="G2" t="s">
        <v>100</v>
      </c>
      <c r="H2" t="s">
        <v>65</v>
      </c>
      <c r="I2" t="s">
        <v>99</v>
      </c>
      <c r="J2">
        <v>1</v>
      </c>
      <c r="V2" t="s">
        <v>97</v>
      </c>
      <c r="W2" s="5">
        <v>200</v>
      </c>
      <c r="X2" s="5">
        <v>175</v>
      </c>
      <c r="Y2" s="5">
        <v>100</v>
      </c>
    </row>
    <row r="3" spans="1:25" x14ac:dyDescent="0.25">
      <c r="A3" t="s">
        <v>67</v>
      </c>
      <c r="B3" s="1">
        <v>0.95</v>
      </c>
      <c r="C3" s="3">
        <v>5.0000000000000001E-3</v>
      </c>
      <c r="D3" s="3" t="s">
        <v>7</v>
      </c>
      <c r="E3" t="s">
        <v>101</v>
      </c>
      <c r="F3" t="s">
        <v>102</v>
      </c>
      <c r="G3" t="s">
        <v>81</v>
      </c>
      <c r="H3" t="s">
        <v>165</v>
      </c>
      <c r="I3" t="s">
        <v>11</v>
      </c>
      <c r="J3">
        <v>1.1000000000000001</v>
      </c>
      <c r="V3" t="s">
        <v>7</v>
      </c>
      <c r="W3" s="5">
        <v>182</v>
      </c>
      <c r="X3" s="5">
        <v>159.25</v>
      </c>
      <c r="Y3" s="5">
        <v>91</v>
      </c>
    </row>
    <row r="4" spans="1:25" ht="15.6" x14ac:dyDescent="0.3">
      <c r="B4" s="1">
        <v>0.9</v>
      </c>
      <c r="C4" s="3">
        <v>0.01</v>
      </c>
      <c r="D4" s="3" t="s">
        <v>103</v>
      </c>
      <c r="F4" t="s">
        <v>104</v>
      </c>
      <c r="G4" t="s">
        <v>82</v>
      </c>
      <c r="H4" t="s">
        <v>105</v>
      </c>
      <c r="I4" t="s">
        <v>102</v>
      </c>
      <c r="J4">
        <v>1.2</v>
      </c>
      <c r="L4" s="4"/>
      <c r="M4" s="4"/>
      <c r="N4" s="4"/>
      <c r="V4" t="s">
        <v>103</v>
      </c>
      <c r="W4" s="5">
        <v>164</v>
      </c>
      <c r="X4" s="5">
        <v>143.5</v>
      </c>
      <c r="Y4" s="5">
        <v>82</v>
      </c>
    </row>
    <row r="5" spans="1:25" x14ac:dyDescent="0.25">
      <c r="B5" s="1">
        <v>0.85</v>
      </c>
      <c r="C5" s="3">
        <v>1.4999999999999999E-2</v>
      </c>
      <c r="D5" s="3" t="s">
        <v>106</v>
      </c>
      <c r="F5" t="s">
        <v>107</v>
      </c>
      <c r="G5" t="s">
        <v>108</v>
      </c>
      <c r="H5" t="s">
        <v>109</v>
      </c>
      <c r="I5" t="s">
        <v>104</v>
      </c>
      <c r="J5">
        <v>1.3</v>
      </c>
      <c r="V5" t="s">
        <v>106</v>
      </c>
      <c r="W5" s="5">
        <v>146</v>
      </c>
      <c r="X5" s="5">
        <v>127.75</v>
      </c>
      <c r="Y5" s="5">
        <v>73</v>
      </c>
    </row>
    <row r="6" spans="1:25" x14ac:dyDescent="0.25">
      <c r="B6" s="1">
        <v>0.8</v>
      </c>
      <c r="C6" s="3">
        <v>0.02</v>
      </c>
      <c r="D6" s="3"/>
      <c r="H6" t="s">
        <v>166</v>
      </c>
      <c r="I6" t="s">
        <v>107</v>
      </c>
      <c r="J6">
        <v>1.4</v>
      </c>
    </row>
    <row r="7" spans="1:25" x14ac:dyDescent="0.25">
      <c r="B7" s="1">
        <v>0.75</v>
      </c>
      <c r="C7" s="3">
        <v>2.5000000000000001E-2</v>
      </c>
      <c r="D7" s="3"/>
      <c r="H7" t="s">
        <v>110</v>
      </c>
      <c r="J7">
        <v>1.5</v>
      </c>
    </row>
    <row r="8" spans="1:25" x14ac:dyDescent="0.25">
      <c r="B8" s="1">
        <v>0.7</v>
      </c>
      <c r="C8" s="3">
        <v>0.03</v>
      </c>
      <c r="D8" s="3"/>
      <c r="H8" t="s">
        <v>112</v>
      </c>
      <c r="J8">
        <v>1.6</v>
      </c>
    </row>
    <row r="9" spans="1:25" x14ac:dyDescent="0.25">
      <c r="B9" s="1">
        <v>0.65</v>
      </c>
      <c r="C9" s="3">
        <v>3.5000000000000003E-2</v>
      </c>
      <c r="D9" s="3"/>
      <c r="H9" t="s">
        <v>113</v>
      </c>
      <c r="J9">
        <v>1.7</v>
      </c>
    </row>
    <row r="10" spans="1:25" x14ac:dyDescent="0.25">
      <c r="B10" s="1">
        <v>0.6</v>
      </c>
      <c r="C10" s="3">
        <v>0.04</v>
      </c>
      <c r="D10" s="3"/>
      <c r="H10" t="s">
        <v>167</v>
      </c>
      <c r="J10">
        <v>1.8</v>
      </c>
    </row>
    <row r="11" spans="1:25" x14ac:dyDescent="0.25">
      <c r="B11" s="1">
        <v>0.55000000000000004</v>
      </c>
      <c r="C11" s="3">
        <v>4.4999999999999998E-2</v>
      </c>
      <c r="D11" s="3"/>
      <c r="H11" t="s">
        <v>114</v>
      </c>
      <c r="J11">
        <v>1.9</v>
      </c>
    </row>
    <row r="12" spans="1:25" x14ac:dyDescent="0.25">
      <c r="B12" s="1">
        <v>0.5</v>
      </c>
      <c r="C12" s="3">
        <v>0.05</v>
      </c>
      <c r="D12" s="3"/>
      <c r="H12" t="s">
        <v>115</v>
      </c>
      <c r="J12">
        <v>2</v>
      </c>
    </row>
    <row r="13" spans="1:25" x14ac:dyDescent="0.25">
      <c r="B13" s="1">
        <v>0.45</v>
      </c>
      <c r="C13" s="3">
        <v>5.5E-2</v>
      </c>
      <c r="D13" s="3"/>
      <c r="H13" t="s">
        <v>111</v>
      </c>
      <c r="J13">
        <v>2.1</v>
      </c>
    </row>
    <row r="14" spans="1:25" x14ac:dyDescent="0.25">
      <c r="B14" s="1">
        <v>0.39999999999999902</v>
      </c>
      <c r="C14" s="3">
        <v>0.06</v>
      </c>
      <c r="D14" s="2" t="s">
        <v>151</v>
      </c>
      <c r="H14" t="s">
        <v>116</v>
      </c>
      <c r="J14">
        <v>2.2000000000000002</v>
      </c>
    </row>
    <row r="15" spans="1:25" x14ac:dyDescent="0.25">
      <c r="B15" s="1">
        <v>0.34999999999999898</v>
      </c>
      <c r="C15" s="3">
        <v>6.5000000000000002E-2</v>
      </c>
      <c r="D15" t="s">
        <v>152</v>
      </c>
      <c r="H15" t="s">
        <v>117</v>
      </c>
      <c r="J15">
        <v>2.2999999999999998</v>
      </c>
    </row>
    <row r="16" spans="1:25" x14ac:dyDescent="0.25">
      <c r="B16" s="1">
        <v>0.29999999999999899</v>
      </c>
      <c r="C16" s="3">
        <v>7.0000000000000007E-2</v>
      </c>
      <c r="D16" s="3" t="s">
        <v>154</v>
      </c>
      <c r="H16" t="s">
        <v>119</v>
      </c>
      <c r="J16">
        <v>2.4</v>
      </c>
    </row>
    <row r="17" spans="2:10" x14ac:dyDescent="0.25">
      <c r="B17" s="1">
        <v>0.249999999999999</v>
      </c>
      <c r="C17" s="3">
        <v>7.4999999999999997E-2</v>
      </c>
      <c r="D17" s="3"/>
      <c r="H17" t="s">
        <v>168</v>
      </c>
      <c r="J17">
        <v>2.5</v>
      </c>
    </row>
    <row r="18" spans="2:10" x14ac:dyDescent="0.25">
      <c r="B18" s="1">
        <v>0.19999999999999901</v>
      </c>
      <c r="C18" s="3">
        <v>0.08</v>
      </c>
      <c r="D18" s="3"/>
      <c r="H18" t="s">
        <v>169</v>
      </c>
      <c r="J18">
        <v>2.6</v>
      </c>
    </row>
    <row r="19" spans="2:10" x14ac:dyDescent="0.25">
      <c r="B19" s="1">
        <v>0.149999999999999</v>
      </c>
      <c r="C19" s="3">
        <v>8.5000000000000006E-2</v>
      </c>
      <c r="D19" s="3"/>
      <c r="H19" t="s">
        <v>120</v>
      </c>
      <c r="J19">
        <v>2.7</v>
      </c>
    </row>
    <row r="20" spans="2:10" x14ac:dyDescent="0.25">
      <c r="B20" s="1">
        <v>9.9999999999999006E-2</v>
      </c>
      <c r="C20" s="3">
        <v>0.09</v>
      </c>
      <c r="D20" s="3"/>
      <c r="H20" t="s">
        <v>170</v>
      </c>
      <c r="J20">
        <v>2.8</v>
      </c>
    </row>
    <row r="21" spans="2:10" x14ac:dyDescent="0.25">
      <c r="B21" s="1">
        <v>4.9999999999998997E-2</v>
      </c>
      <c r="C21" s="3">
        <v>9.5000000000000001E-2</v>
      </c>
      <c r="D21" s="3"/>
      <c r="H21" t="s">
        <v>121</v>
      </c>
      <c r="J21">
        <v>2.9</v>
      </c>
    </row>
    <row r="22" spans="2:10" x14ac:dyDescent="0.25">
      <c r="B22" s="1">
        <v>0</v>
      </c>
      <c r="C22" s="3">
        <v>0.1</v>
      </c>
      <c r="D22" s="3"/>
      <c r="H22" t="s">
        <v>161</v>
      </c>
      <c r="J22">
        <v>3</v>
      </c>
    </row>
    <row r="23" spans="2:10" x14ac:dyDescent="0.25">
      <c r="H23" t="s">
        <v>124</v>
      </c>
    </row>
    <row r="24" spans="2:10" x14ac:dyDescent="0.25">
      <c r="H24" t="s">
        <v>122</v>
      </c>
    </row>
    <row r="25" spans="2:10" x14ac:dyDescent="0.25">
      <c r="H25" t="s">
        <v>118</v>
      </c>
    </row>
    <row r="26" spans="2:10" x14ac:dyDescent="0.25">
      <c r="H26" t="s">
        <v>123</v>
      </c>
    </row>
    <row r="27" spans="2:10" x14ac:dyDescent="0.25">
      <c r="H27" t="s">
        <v>129</v>
      </c>
    </row>
    <row r="28" spans="2:10" x14ac:dyDescent="0.25">
      <c r="H28" t="s">
        <v>125</v>
      </c>
    </row>
    <row r="29" spans="2:10" x14ac:dyDescent="0.25">
      <c r="H29" t="s">
        <v>126</v>
      </c>
    </row>
    <row r="30" spans="2:10" x14ac:dyDescent="0.25">
      <c r="H30" t="s">
        <v>162</v>
      </c>
    </row>
    <row r="31" spans="2:10" x14ac:dyDescent="0.25">
      <c r="H31" t="s">
        <v>127</v>
      </c>
    </row>
    <row r="32" spans="2:10" x14ac:dyDescent="0.25">
      <c r="H32" t="s">
        <v>133</v>
      </c>
    </row>
    <row r="33" spans="8:8" x14ac:dyDescent="0.25">
      <c r="H33" t="s">
        <v>128</v>
      </c>
    </row>
    <row r="34" spans="8:8" x14ac:dyDescent="0.25">
      <c r="H34" t="s">
        <v>164</v>
      </c>
    </row>
    <row r="35" spans="8:8" x14ac:dyDescent="0.25">
      <c r="H35" t="s">
        <v>130</v>
      </c>
    </row>
    <row r="36" spans="8:8" x14ac:dyDescent="0.25">
      <c r="H36" t="s">
        <v>131</v>
      </c>
    </row>
    <row r="37" spans="8:8" x14ac:dyDescent="0.25">
      <c r="H37" t="s">
        <v>163</v>
      </c>
    </row>
    <row r="38" spans="8:8" x14ac:dyDescent="0.25">
      <c r="H38" t="s">
        <v>132</v>
      </c>
    </row>
    <row r="39" spans="8:8" x14ac:dyDescent="0.25">
      <c r="H39" t="s">
        <v>134</v>
      </c>
    </row>
  </sheetData>
  <sortState xmlns:xlrd2="http://schemas.microsoft.com/office/spreadsheetml/2017/richdata2" ref="H3:H39">
    <sortCondition ref="H3:H39"/>
  </sortState>
  <phoneticPr fontId="5" type="noConversion"/>
  <pageMargins left="0.7" right="0.7" top="0.75" bottom="0.75" header="0.3" footer="0.3"/>
  <pageSetup orientation="portrait"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b30647e-2852-4824-8010-b226207861fa" xsi:nil="true"/>
    <lcf76f155ced4ddcb4097134ff3c332f xmlns="f2870893-db66-4aa3-85e9-3efb17b0b061">
      <Terms xmlns="http://schemas.microsoft.com/office/infopath/2007/PartnerControls"/>
    </lcf76f155ced4ddcb4097134ff3c332f>
    <SharedWithUsers xmlns="1b30647e-2852-4824-8010-b226207861fa">
      <UserInfo>
        <DisplayName>Lawrence Taylor</DisplayName>
        <AccountId>678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E48F674D6A6E4B968E3E1FAE1B9692" ma:contentTypeVersion="18" ma:contentTypeDescription="Create a new document." ma:contentTypeScope="" ma:versionID="7c6a38523e307ca84538542b42b3f4b1">
  <xsd:schema xmlns:xsd="http://www.w3.org/2001/XMLSchema" xmlns:xs="http://www.w3.org/2001/XMLSchema" xmlns:p="http://schemas.microsoft.com/office/2006/metadata/properties" xmlns:ns2="f2870893-db66-4aa3-85e9-3efb17b0b061" xmlns:ns3="1b30647e-2852-4824-8010-b226207861fa" targetNamespace="http://schemas.microsoft.com/office/2006/metadata/properties" ma:root="true" ma:fieldsID="f90a7820582472fb4184e968cb180261" ns2:_="" ns3:_="">
    <xsd:import namespace="f2870893-db66-4aa3-85e9-3efb17b0b061"/>
    <xsd:import namespace="1b30647e-2852-4824-8010-b226207861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870893-db66-4aa3-85e9-3efb17b0b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8b8dfaa-981b-4fef-ae8f-77207eb7bc50"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30647e-2852-4824-8010-b226207861f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cdface4-0c15-4f14-bd0b-80d2248220b1}" ma:internalName="TaxCatchAll" ma:showField="CatchAllData" ma:web="1b30647e-2852-4824-8010-b226207861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42BB1A-93CC-4756-B0EB-3B6FEEB971BD}">
  <ds:schemaRefs>
    <ds:schemaRef ds:uri="http://schemas.microsoft.com/sharepoint/v3/contenttype/forms"/>
  </ds:schemaRefs>
</ds:datastoreItem>
</file>

<file path=customXml/itemProps2.xml><?xml version="1.0" encoding="utf-8"?>
<ds:datastoreItem xmlns:ds="http://schemas.openxmlformats.org/officeDocument/2006/customXml" ds:itemID="{B9125236-DAD6-4A46-9C35-A44050F52141}">
  <ds:schemaRefs>
    <ds:schemaRef ds:uri="http://purl.org/dc/terms/"/>
    <ds:schemaRef ds:uri="f2870893-db66-4aa3-85e9-3efb17b0b061"/>
    <ds:schemaRef ds:uri="http://purl.org/dc/dcmitype/"/>
    <ds:schemaRef ds:uri="http://schemas.openxmlformats.org/package/2006/metadata/core-properties"/>
    <ds:schemaRef ds:uri="1b30647e-2852-4824-8010-b226207861fa"/>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2EEAEF4-7F82-4208-BC65-B87DD1FD40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870893-db66-4aa3-85e9-3efb17b0b061"/>
    <ds:schemaRef ds:uri="1b30647e-2852-4824-8010-b2262078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C&amp;I Tranche 3 (2025)</vt:lpstr>
      <vt:lpstr>Residential 1-4 Family (2025)</vt:lpstr>
      <vt:lpstr>Change Log</vt:lpstr>
      <vt:lpstr>Lookup</vt:lpstr>
      <vt:lpstr>Picklists</vt:lpstr>
      <vt:lpstr>Annual_Average_Demand_kW</vt:lpstr>
      <vt:lpstr>Customer_Class</vt:lpstr>
      <vt:lpstr>EventDuration</vt:lpstr>
      <vt:lpstr>InvDemandRatio</vt:lpstr>
      <vt:lpstr>kWh_kW_Ratio</vt:lpstr>
      <vt:lpstr>Large_Tier</vt:lpstr>
      <vt:lpstr>LargeTierRate</vt:lpstr>
      <vt:lpstr>Medium_Tier</vt:lpstr>
      <vt:lpstr>MedTierRate</vt:lpstr>
      <vt:lpstr>Nameplate_Capacity_kWh</vt:lpstr>
      <vt:lpstr>Nameplate_Energy_Capacity_kW</vt:lpstr>
      <vt:lpstr>Nameplate_Energy_Capacity_kWH</vt:lpstr>
      <vt:lpstr>Nameplate_Energy_kWh</vt:lpstr>
      <vt:lpstr>Nameplate_kWh_CI</vt:lpstr>
      <vt:lpstr>Nameplate_Power_kW</vt:lpstr>
      <vt:lpstr>NameplatekW</vt:lpstr>
      <vt:lpstr>NameplatekWh</vt:lpstr>
      <vt:lpstr>'C&amp;I Tranche 3 (2025)'!Print_Area</vt:lpstr>
      <vt:lpstr>Small_Tier</vt:lpstr>
      <vt:lpstr>SmallTierRate</vt:lpstr>
      <vt:lpstr>StepSelector</vt:lpstr>
      <vt:lpstr>T3Steps</vt:lpstr>
      <vt:lpstr>Total_System_Cost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P. Kranich</dc:creator>
  <cp:keywords/>
  <dc:description/>
  <cp:lastModifiedBy>Edward P. Kranich</cp:lastModifiedBy>
  <cp:revision/>
  <cp:lastPrinted>2025-08-07T14:32:48Z</cp:lastPrinted>
  <dcterms:created xsi:type="dcterms:W3CDTF">2023-03-22T14:36:35Z</dcterms:created>
  <dcterms:modified xsi:type="dcterms:W3CDTF">2025-12-04T19:58:35Z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0x01010048E48F674D6A6E4B968E3E1FAE1B9692</vt:lpwstr>
  </property>
</Properties>
</file>