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reenbank-my.sharepoint.com/personal/ekranich_ctgreenbank_com/Documents/Desktop/"/>
    </mc:Choice>
  </mc:AlternateContent>
  <xr:revisionPtr revIDLastSave="0" documentId="8_{771D8459-382B-4B54-8C1B-3104A9A5B4B2}" xr6:coauthVersionLast="47" xr6:coauthVersionMax="47" xr10:uidLastSave="{00000000-0000-0000-0000-000000000000}"/>
  <bookViews>
    <workbookView xWindow="-15" yWindow="-16065" windowWidth="27015" windowHeight="13890" activeTab="1" xr2:uid="{B621F628-A0EE-4389-BE09-110FB7A6C655}"/>
  </bookViews>
  <sheets>
    <sheet name="Residential 1-4 Family (4-1-26)" sheetId="11" r:id="rId1"/>
    <sheet name="C&amp;I (4-1-26)" sheetId="8" r:id="rId2"/>
    <sheet name="Change Log" sheetId="10" r:id="rId3"/>
    <sheet name="Picklists" sheetId="4" state="hidden" r:id="rId4"/>
  </sheets>
  <definedNames>
    <definedName name="Annual_Average_Demand_kW">'C&amp;I (4-1-26)'!$C$20</definedName>
    <definedName name="ApplicableUpfront">'Residential 1-4 Family (4-1-26)'!$D$52</definedName>
    <definedName name="Customer_Class">'C&amp;I (4-1-26)'!$D$50</definedName>
    <definedName name="EventDuration">'C&amp;I (4-1-26)'!$C$25</definedName>
    <definedName name="InvDemandRatio">'C&amp;I (4-1-26)'!#REF!</definedName>
    <definedName name="kWh_kW_Ratio">'C&amp;I (4-1-26)'!#REF!</definedName>
    <definedName name="Large_Tier">'C&amp;I (4-1-26)'!#REF!</definedName>
    <definedName name="LargeTierRate">'C&amp;I (4-1-26)'!$D$54</definedName>
    <definedName name="Medium_Tier">'C&amp;I (4-1-26)'!#REF!</definedName>
    <definedName name="MedTierRate">'C&amp;I (4-1-26)'!#REF!</definedName>
    <definedName name="Nameplate_Capacity_kWh">'C&amp;I (4-1-26)'!$C$17</definedName>
    <definedName name="Nameplate_Energy_Capacity_kW">'C&amp;I (4-1-26)'!$C$17</definedName>
    <definedName name="Nameplate_Energy_Capacity_kWH">'C&amp;I (4-1-26)'!$C$17</definedName>
    <definedName name="Nameplate_Energy_kWh">'C&amp;I (4-1-26)'!$C$17</definedName>
    <definedName name="Nameplate_kWh_CI">'C&amp;I (4-1-26)'!$C$17</definedName>
    <definedName name="Nameplate_Power_kW">'C&amp;I (4-1-26)'!$C$16</definedName>
    <definedName name="NameplatekW" localSheetId="0">'Residential 1-4 Family (4-1-26)'!$C$17</definedName>
    <definedName name="NameplatekW">#REF!</definedName>
    <definedName name="NameplatekWh" localSheetId="0">'Residential 1-4 Family (4-1-26)'!$C$18</definedName>
    <definedName name="NameplatekWh">#REF!</definedName>
    <definedName name="_xlnm.Print_Area" localSheetId="1">'C&amp;I (4-1-26)'!$C$1:$F$62</definedName>
    <definedName name="Small_Tier">'C&amp;I (4-1-26)'!$D$59</definedName>
    <definedName name="SmallTierRate">'C&amp;I (4-1-26)'!$D$52</definedName>
    <definedName name="StepSelector">'C&amp;I (4-1-26)'!$C$18</definedName>
    <definedName name="T3Steps">Picklists!$V$1:$Y$5</definedName>
    <definedName name="Total_System_Cost">'C&amp;I (4-1-26)'!#REF!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1" l="1"/>
  <c r="E38" i="11"/>
  <c r="E39" i="11"/>
  <c r="E40" i="11"/>
  <c r="E41" i="11"/>
  <c r="E42" i="11"/>
  <c r="E43" i="11"/>
  <c r="E44" i="11"/>
  <c r="E45" i="11"/>
  <c r="E36" i="11"/>
  <c r="E35" i="8"/>
  <c r="E36" i="8"/>
  <c r="E37" i="8"/>
  <c r="E38" i="8"/>
  <c r="E39" i="8"/>
  <c r="E40" i="8"/>
  <c r="E41" i="8"/>
  <c r="E42" i="8"/>
  <c r="E43" i="8"/>
  <c r="E34" i="8"/>
  <c r="D48" i="8" l="1"/>
  <c r="E28" i="8" s="1"/>
  <c r="C12" i="8"/>
  <c r="D57" i="11"/>
  <c r="D52" i="11"/>
  <c r="E30" i="11" s="1"/>
  <c r="D36" i="11"/>
  <c r="C13" i="11"/>
  <c r="E20" i="8"/>
  <c r="D51" i="8"/>
  <c r="D50" i="8"/>
  <c r="D58" i="8" s="1"/>
  <c r="E32" i="11" l="1"/>
  <c r="F36" i="11"/>
  <c r="D37" i="11"/>
  <c r="D38" i="11" l="1"/>
  <c r="D34" i="8"/>
  <c r="E30" i="8" s="1"/>
  <c r="D39" i="11" l="1"/>
  <c r="F38" i="11"/>
  <c r="F37" i="11"/>
  <c r="D35" i="8"/>
  <c r="F34" i="8" l="1"/>
  <c r="F39" i="11"/>
  <c r="D40" i="11"/>
  <c r="D36" i="8"/>
  <c r="F35" i="8" l="1"/>
  <c r="F40" i="11"/>
  <c r="D41" i="11"/>
  <c r="D37" i="8"/>
  <c r="F36" i="8" l="1"/>
  <c r="F41" i="11"/>
  <c r="D42" i="11"/>
  <c r="F37" i="8"/>
  <c r="D38" i="8"/>
  <c r="F42" i="11" l="1"/>
  <c r="D43" i="11"/>
  <c r="F38" i="8"/>
  <c r="D39" i="8"/>
  <c r="F43" i="11" l="1"/>
  <c r="D44" i="11"/>
  <c r="F39" i="8"/>
  <c r="D40" i="8"/>
  <c r="F44" i="11" l="1"/>
  <c r="D45" i="11"/>
  <c r="F40" i="8"/>
  <c r="D41" i="8"/>
  <c r="F41" i="8" l="1"/>
  <c r="D42" i="8"/>
  <c r="F45" i="11" l="1"/>
  <c r="F46" i="11" s="1"/>
  <c r="E31" i="11" s="1"/>
  <c r="F42" i="8"/>
  <c r="D43" i="8"/>
  <c r="F43" i="8" l="1"/>
  <c r="F44" i="8" s="1"/>
  <c r="E2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tc={06E7EB50-F678-4A04-8D11-2F0522CEF74E}</author>
  </authors>
  <commentList>
    <comment ref="H39" authorId="0" shapeId="0" xr:uid="{06E7EB50-F678-4A04-8D11-2F0522CEF74E}">
      <text>
        <t>[Threaded comment]
Your version of Excel allows you to read this threaded comment; however, any edits to it will get removed if the file is opened in a newer version of Excel. Learn more: https://go.microsoft.com/fwlink/?linkid=870924
Comment:
    Old version of formula, too many arguments?</t>
      </text>
    </comment>
  </commentList>
</comments>
</file>

<file path=xl/sharedStrings.xml><?xml version="1.0" encoding="utf-8"?>
<sst xmlns="http://schemas.openxmlformats.org/spreadsheetml/2006/main" count="254" uniqueCount="169">
  <si>
    <t>Battery System Inputs</t>
  </si>
  <si>
    <t>Notes</t>
  </si>
  <si>
    <t>kW (Total BESS Nameplate Continuous Power)</t>
  </si>
  <si>
    <t>kWh (Total BESS Nameplate Energy Capacity)</t>
  </si>
  <si>
    <t>Tranche 1 Step 2</t>
  </si>
  <si>
    <t>Priority Customer Adder</t>
  </si>
  <si>
    <t>N/A</t>
  </si>
  <si>
    <t>Underserved Community?</t>
  </si>
  <si>
    <t>No</t>
  </si>
  <si>
    <t>Grid-Edge?</t>
  </si>
  <si>
    <t>Active Dispatch Inputs</t>
  </si>
  <si>
    <t>Average Active Event Duration (hours)</t>
  </si>
  <si>
    <t>Default value 2.5 hours based on historical average.</t>
  </si>
  <si>
    <t>10 Year Active Dispatch Performance Incentive Estimate</t>
  </si>
  <si>
    <t>Year</t>
  </si>
  <si>
    <t>Max Battery Capacity (kWh)</t>
  </si>
  <si>
    <t>Average kW</t>
  </si>
  <si>
    <t>Total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</si>
  <si>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</si>
  <si>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</si>
  <si>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</si>
  <si>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</si>
  <si>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</si>
  <si>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</si>
  <si>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</si>
  <si>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</si>
  <si>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</si>
  <si>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</si>
  <si>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Performance Incentive Working Calculations</t>
  </si>
  <si>
    <t>Standard</t>
  </si>
  <si>
    <t>Grid Edge</t>
  </si>
  <si>
    <t>Underserved</t>
  </si>
  <si>
    <t>Applicable Rate</t>
  </si>
  <si>
    <t>Low-Income</t>
  </si>
  <si>
    <t>Tranche 3 Step 2</t>
  </si>
  <si>
    <t>Customer Class Inputs</t>
  </si>
  <si>
    <t>Annual Peak Demand (kW)</t>
  </si>
  <si>
    <t>None</t>
  </si>
  <si>
    <t>Default value 2.5%, varies by manufacturer.</t>
  </si>
  <si>
    <t>Customer Class</t>
  </si>
  <si>
    <t>Step</t>
  </si>
  <si>
    <t>Date</t>
  </si>
  <si>
    <t>Original Version</t>
  </si>
  <si>
    <t>New Version</t>
  </si>
  <si>
    <t>Summary of Changes</t>
  </si>
  <si>
    <t>6.1.1</t>
  </si>
  <si>
    <t>Created a change log</t>
  </si>
  <si>
    <t>Created a Step dropdown set to Step 2 as the default value in preparation for Step 2 incentive transition.</t>
  </si>
  <si>
    <t>Y/N</t>
  </si>
  <si>
    <t>PARTICIPATION</t>
  </si>
  <si>
    <t>DEGRADATION</t>
  </si>
  <si>
    <t>RATE</t>
  </si>
  <si>
    <t>CI PRIORITY</t>
  </si>
  <si>
    <t>PRIORITY</t>
  </si>
  <si>
    <t>2023 DISTRESSED MUNICIPALITY</t>
  </si>
  <si>
    <t>CI PRIORITY2</t>
  </si>
  <si>
    <t>EVENT DURATION</t>
  </si>
  <si>
    <t>Small</t>
  </si>
  <si>
    <t>Medium</t>
  </si>
  <si>
    <t>Large</t>
  </si>
  <si>
    <t>Yes</t>
  </si>
  <si>
    <t>Tranche 2</t>
  </si>
  <si>
    <t>Tiered Rate</t>
  </si>
  <si>
    <t>Tranche 3 Step 1</t>
  </si>
  <si>
    <t>Single Rate</t>
  </si>
  <si>
    <t>Grid-Edge</t>
  </si>
  <si>
    <t>Ansonia</t>
  </si>
  <si>
    <t>Small Business</t>
  </si>
  <si>
    <t>Critical Facility</t>
  </si>
  <si>
    <t>Bridgeport</t>
  </si>
  <si>
    <t>2023 Distressed Municipalities - Alphabetical</t>
  </si>
  <si>
    <t>Formerly Distressed Muncipalities with Eligibility Remaining</t>
  </si>
  <si>
    <t>Tranche 3 Step 3</t>
  </si>
  <si>
    <t>Replacing Generator</t>
  </si>
  <si>
    <t>MFAH</t>
  </si>
  <si>
    <t>Bristol (Expires 10/4/2028)</t>
  </si>
  <si>
    <t>Municipality</t>
  </si>
  <si>
    <t>Score</t>
  </si>
  <si>
    <t>Rank</t>
  </si>
  <si>
    <t>Eligibility End Date</t>
  </si>
  <si>
    <t>Chaplin</t>
  </si>
  <si>
    <t>Enfield</t>
  </si>
  <si>
    <t>8/6/2024</t>
  </si>
  <si>
    <t>Derby</t>
  </si>
  <si>
    <t>Killingly</t>
  </si>
  <si>
    <t>9/16/2025</t>
  </si>
  <si>
    <t>East Hartford</t>
  </si>
  <si>
    <t>Naugatuck</t>
  </si>
  <si>
    <t>East Haven</t>
  </si>
  <si>
    <t>New Haven</t>
  </si>
  <si>
    <t>9/10/2026</t>
  </si>
  <si>
    <t>Griswold</t>
  </si>
  <si>
    <t>Preston</t>
  </si>
  <si>
    <t>Groton (Expires 10/4/2028)</t>
  </si>
  <si>
    <t>Stratford</t>
  </si>
  <si>
    <t>10/3/2027</t>
  </si>
  <si>
    <t>Hartford</t>
  </si>
  <si>
    <t>Bristol</t>
  </si>
  <si>
    <t>10/4/2028</t>
  </si>
  <si>
    <t>Killingly (Expires 9/16/2025)</t>
  </si>
  <si>
    <t>Groton</t>
  </si>
  <si>
    <t>TRANCHE 1 STEP</t>
  </si>
  <si>
    <t>Lisbon</t>
  </si>
  <si>
    <t>North Stonington</t>
  </si>
  <si>
    <t>Tranche 1 Step 1</t>
  </si>
  <si>
    <t>Mansfield</t>
  </si>
  <si>
    <t>Plainfield</t>
  </si>
  <si>
    <t>Meriden</t>
  </si>
  <si>
    <t>Montville</t>
  </si>
  <si>
    <t>Naugatuck (Expires 9/16/2025)</t>
  </si>
  <si>
    <t>New Britain</t>
  </si>
  <si>
    <t>New London</t>
  </si>
  <si>
    <t>New Haven (Expires 9/10/2026)</t>
  </si>
  <si>
    <t>Norwich</t>
  </si>
  <si>
    <t>Plymouth</t>
  </si>
  <si>
    <t>North Stonington (Expires 10/4/2028)</t>
  </si>
  <si>
    <t>Putnam</t>
  </si>
  <si>
    <t>Sprague</t>
  </si>
  <si>
    <t>Plainfield (Expires 10/4/2028)</t>
  </si>
  <si>
    <t>Sterling</t>
  </si>
  <si>
    <t>Torrington</t>
  </si>
  <si>
    <t>Preston (Expires 9/10/2026)</t>
  </si>
  <si>
    <t>Voluntown</t>
  </si>
  <si>
    <t>Waterbury</t>
  </si>
  <si>
    <t>West Haven</t>
  </si>
  <si>
    <t>Winchester</t>
  </si>
  <si>
    <t>Stratford (Expires 10/3/2027)</t>
  </si>
  <si>
    <t>Windham</t>
  </si>
  <si>
    <t>IF(((Nameplate_Power_kW/Annual_Average_Demand_kW&gt;1.5)*AND(Nameplate_Power_kW&gt;2000))*OR(Nameplate_Power_kW&gt;2000),"Inverter Oversized","OK")</t>
  </si>
  <si>
    <t>Enrollment Incentive</t>
  </si>
  <si>
    <t>INCENTIVES SUMMARY</t>
  </si>
  <si>
    <t>Estimated Performance Incentive</t>
  </si>
  <si>
    <t>Modified the Underserved Communities list</t>
  </si>
  <si>
    <t>Added a residential standard rate working calculation. Edited formula in cell G33</t>
  </si>
  <si>
    <t>TRANCHE</t>
  </si>
  <si>
    <t>Incentive Level</t>
  </si>
  <si>
    <t>Large Tier Rate 1-5</t>
  </si>
  <si>
    <t>Large Tier Rate 6-10</t>
  </si>
  <si>
    <t>Applicable Rate 1-5</t>
  </si>
  <si>
    <t>Applicable Rate 6-10</t>
  </si>
  <si>
    <t>Medium Tier Rate 1-5</t>
  </si>
  <si>
    <t>Small Tier Rate 1-5</t>
  </si>
  <si>
    <t>Small Tier Rate 6-10</t>
  </si>
  <si>
    <t>Medium Tier Rate 6-10</t>
  </si>
  <si>
    <t>Enrollment Incentive Rate</t>
  </si>
  <si>
    <r>
      <t>Grid-Edge adder can apply to any type of customer. Designation increases</t>
    </r>
    <r>
      <rPr>
        <b/>
        <i/>
        <sz val="8"/>
        <rFont val="Arial Nova"/>
        <family val="2"/>
      </rPr>
      <t xml:space="preserve"> Enrollment Incentive</t>
    </r>
    <r>
      <rPr>
        <i/>
        <sz val="8"/>
        <rFont val="Arial Nova"/>
        <family val="2"/>
      </rPr>
      <t xml:space="preserve"> only.</t>
    </r>
  </si>
  <si>
    <r>
      <t xml:space="preserve">Not stackable with Underserved Community adder. Designation increases </t>
    </r>
    <r>
      <rPr>
        <b/>
        <i/>
        <sz val="8"/>
        <rFont val="Arial Nova"/>
        <family val="2"/>
      </rPr>
      <t>Performance Incentive</t>
    </r>
    <r>
      <rPr>
        <i/>
        <sz val="8"/>
        <rFont val="Arial Nova"/>
        <family val="2"/>
      </rPr>
      <t xml:space="preserve"> rate only.</t>
    </r>
  </si>
  <si>
    <r>
      <t xml:space="preserve">Designation increases </t>
    </r>
    <r>
      <rPr>
        <b/>
        <i/>
        <sz val="8"/>
        <rFont val="Arial Nova"/>
        <family val="2"/>
      </rPr>
      <t>Performance Incentive</t>
    </r>
    <r>
      <rPr>
        <i/>
        <sz val="8"/>
        <rFont val="Arial Nova"/>
        <family val="2"/>
      </rPr>
      <t xml:space="preserve"> rate only.</t>
    </r>
  </si>
  <si>
    <t>Priority Customer Adders</t>
  </si>
  <si>
    <t>Active Dispatch Estimation Inputs</t>
  </si>
  <si>
    <t>Performance Incentive Estimation Method</t>
  </si>
  <si>
    <t>"Construct 5" Residential Incentive Estimate Calculator</t>
  </si>
  <si>
    <t>"Construct 5" Commercial &amp; Industrial Incentive Estimate Calculator</t>
  </si>
  <si>
    <t xml:space="preserve">Please refer to the current Program Manual, available at www.energystorageCT.com/contractor-resources. </t>
  </si>
  <si>
    <r>
      <rPr>
        <b/>
        <sz val="10"/>
        <rFont val="Arial Nova"/>
        <family val="2"/>
      </rPr>
      <t>Note</t>
    </r>
    <r>
      <rPr>
        <sz val="10"/>
        <rFont val="Arial Nova"/>
        <family val="2"/>
      </rPr>
      <t xml:space="preserve">: This calculator is intended to be used as an </t>
    </r>
    <r>
      <rPr>
        <u/>
        <sz val="10"/>
        <rFont val="Arial Nova"/>
        <family val="2"/>
      </rPr>
      <t>estimation tool only</t>
    </r>
    <r>
      <rPr>
        <sz val="10"/>
        <rFont val="Arial Nova"/>
        <family val="2"/>
      </rPr>
      <t xml:space="preserve">. Final Enrollment Incentive approval is subject to review in a complete Application by Connecticut Green Bank.
</t>
    </r>
  </si>
  <si>
    <t>Performance Incentives paid for Active Dispatch can vary significantly based on battery degradation, discharge limitations set by the manufacturer or operator, customer participation and opt-out, weather events, and system design.</t>
  </si>
  <si>
    <t>Performance Rate</t>
  </si>
  <si>
    <t>Default value 2.5%, varies by OEM.</t>
  </si>
  <si>
    <t>FOR ALL 1-4 FAMILY RESIDENTIAL PROJECTS SUBMITTED ON OR AFTER APRIL 1, 2026</t>
  </si>
  <si>
    <t>FOR ALL COMMERCIAL PROJECTS SUBMITTED ON OR AFTER APRIL 1, 2026</t>
  </si>
  <si>
    <t>Annual Battery Capacity Degradation Rate</t>
  </si>
  <si>
    <t>Low Income? (Select Yes for Multifamily Affordable)</t>
  </si>
  <si>
    <t>Enrollment Incentive is not available for customers without a Priority designation.</t>
  </si>
  <si>
    <t>Enrollment Incentive Working Calculations</t>
  </si>
  <si>
    <t>Default value is 62% based on average fleetwide performance in 2025.</t>
  </si>
  <si>
    <t>Overhaul of Residential and C&amp;I calculators to reflect new incentive structure effective 4/1/26.</t>
  </si>
  <si>
    <t>7.0</t>
  </si>
  <si>
    <t>Version 7.1 - 1/30/26</t>
  </si>
  <si>
    <t>Bug fixes in residential and commercial performance incentive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</si>
</sst>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"/>
  </numFmts>
  <fonts count="32" x14ac:knownFonts="1">
    <font>
      <sz val="10"/>
      <color theme="1"/>
      <name val="Arial"/>
      <family val="2"/>
    </font>
    <font>
      <sz val="10"/>
      <color theme="1"/>
      <name val="Arial Nova"/>
      <family val="2"/>
    </font>
    <font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sz val="10"/>
      <name val="Arial Nova"/>
      <family val="2"/>
    </font>
    <font>
      <b/>
      <sz val="10"/>
      <name val="Arial Nova"/>
      <family val="2"/>
    </font>
    <font>
      <i/>
      <sz val="8"/>
      <name val="Arial Nova"/>
      <family val="2"/>
    </font>
    <font>
      <b/>
      <sz val="12"/>
      <name val="Arial Nova"/>
      <family val="2"/>
    </font>
    <font>
      <b/>
      <sz val="14"/>
      <name val="Arial Nova"/>
      <family val="2"/>
    </font>
    <font>
      <b/>
      <i/>
      <sz val="8"/>
      <name val="Arial Nova"/>
      <family val="2"/>
    </font>
    <font>
      <b/>
      <sz val="16"/>
      <name val="Arial Nova"/>
      <family val="2"/>
    </font>
    <font>
      <b/>
      <u/>
      <sz val="10"/>
      <color theme="10"/>
      <name val="Arial Nova"/>
      <family val="2"/>
    </font>
    <font>
      <b/>
      <i/>
      <sz val="10"/>
      <color theme="0" tint="-0.34998626667073579"/>
      <name val="Arial Nova"/>
      <family val="2"/>
    </font>
    <font>
      <i/>
      <sz val="10"/>
      <color theme="0" tint="-0.34998626667073579"/>
      <name val="Arial Nova"/>
      <family val="2"/>
    </font>
    <font>
      <sz val="10"/>
      <color theme="0" tint="-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sz val="12"/>
      <color theme="0"/>
      <name val="Arial Nova"/>
      <family val="2"/>
    </font>
    <font>
      <u/>
      <sz val="10"/>
      <name val="Arial Nova"/>
      <family val="2"/>
    </font>
    <font>
      <b/>
      <sz val="18"/>
      <name val="Arial Nova"/>
      <family val="2"/>
    </font>
    <font>
      <b/>
      <sz val="11"/>
      <color theme="0"/>
      <name val="Arial Nova"/>
      <family val="2"/>
    </font>
    <font>
      <i/>
      <sz val="10"/>
      <name val="Arial Nova"/>
      <family val="2"/>
    </font>
    <font>
      <sz val="9"/>
      <name val="Arial Nova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3031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5A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008C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3" fillId="2" borderId="1" applyNumberFormat="0" applyAlignment="0" applyProtection="0"/>
    <xf numFmtId="0" fontId="7" fillId="0" borderId="0"/>
    <xf numFmtId="0" fontId="6" fillId="3" borderId="6" applyNumberForma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4">
    <xf numFmtId="0" fontId="0" fillId="0" borderId="0" xfId="0"/>
    <xf numFmtId="9" fontId="0" fillId="0" borderId="0" xfId="0" applyNumberFormat="1"/>
    <xf numFmtId="0" fontId="4" fillId="0" borderId="0" xfId="0" applyFont="1"/>
    <xf numFmtId="167" fontId="0" fillId="0" borderId="0" xfId="0" applyNumberFormat="1"/>
    <xf numFmtId="0" fontId="9" fillId="0" borderId="0" xfId="0" applyFont="1"/>
    <xf numFmtId="0" fontId="9" fillId="0" borderId="2" xfId="0" applyFont="1" applyBorder="1" applyAlignment="1">
      <alignment horizontal="center"/>
    </xf>
    <xf numFmtId="0" fontId="10" fillId="0" borderId="0" xfId="0" applyFont="1"/>
    <xf numFmtId="0" fontId="11" fillId="0" borderId="7" xfId="0" applyFont="1" applyBorder="1"/>
    <xf numFmtId="3" fontId="11" fillId="0" borderId="5" xfId="0" applyNumberFormat="1" applyFont="1" applyBorder="1"/>
    <xf numFmtId="0" fontId="11" fillId="0" borderId="8" xfId="0" applyFont="1" applyBorder="1"/>
    <xf numFmtId="0" fontId="11" fillId="0" borderId="2" xfId="0" applyFont="1" applyBorder="1" applyAlignment="1">
      <alignment horizontal="left"/>
    </xf>
    <xf numFmtId="14" fontId="12" fillId="0" borderId="2" xfId="0" applyNumberFormat="1" applyFont="1" applyBorder="1"/>
    <xf numFmtId="0" fontId="11" fillId="0" borderId="9" xfId="0" applyFont="1" applyBorder="1"/>
    <xf numFmtId="3" fontId="11" fillId="0" borderId="3" xfId="0" applyNumberFormat="1" applyFont="1" applyBorder="1"/>
    <xf numFmtId="0" fontId="11" fillId="0" borderId="12" xfId="0" applyFont="1" applyBorder="1"/>
    <xf numFmtId="0" fontId="11" fillId="0" borderId="10" xfId="0" applyFont="1" applyBorder="1"/>
    <xf numFmtId="3" fontId="11" fillId="0" borderId="4" xfId="0" applyNumberFormat="1" applyFont="1" applyBorder="1"/>
    <xf numFmtId="0" fontId="11" fillId="0" borderId="11" xfId="0" applyFont="1" applyBorder="1"/>
    <xf numFmtId="49" fontId="12" fillId="0" borderId="2" xfId="0" applyNumberFormat="1" applyFont="1" applyBorder="1"/>
    <xf numFmtId="44" fontId="0" fillId="0" borderId="0" xfId="1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" fillId="0" borderId="0" xfId="0" applyFont="1"/>
    <xf numFmtId="0" fontId="16" fillId="0" borderId="0" xfId="7" applyFont="1" applyBorder="1" applyAlignment="1" applyProtection="1">
      <alignment vertical="top" wrapText="1"/>
    </xf>
    <xf numFmtId="0" fontId="15" fillId="0" borderId="0" xfId="0" applyFont="1"/>
    <xf numFmtId="165" fontId="14" fillId="9" borderId="0" xfId="6" applyNumberFormat="1" applyFont="1" applyFill="1" applyBorder="1" applyAlignment="1" applyProtection="1">
      <alignment horizontal="center"/>
      <protection locked="0"/>
    </xf>
    <xf numFmtId="164" fontId="14" fillId="9" borderId="0" xfId="2" applyNumberFormat="1" applyFont="1" applyFill="1" applyBorder="1" applyAlignment="1" applyProtection="1">
      <alignment horizontal="center"/>
      <protection locked="0"/>
    </xf>
    <xf numFmtId="43" fontId="14" fillId="9" borderId="0" xfId="6" applyFont="1" applyFill="1" applyBorder="1" applyAlignment="1" applyProtection="1">
      <alignment horizontal="center"/>
      <protection locked="0"/>
    </xf>
    <xf numFmtId="167" fontId="14" fillId="9" borderId="0" xfId="5" applyNumberFormat="1" applyFont="1" applyFill="1" applyBorder="1" applyAlignment="1" applyProtection="1">
      <alignment horizontal="center"/>
      <protection locked="0"/>
    </xf>
    <xf numFmtId="9" fontId="14" fillId="9" borderId="0" xfId="5" applyFont="1" applyFill="1" applyBorder="1" applyAlignment="1" applyProtection="1">
      <alignment horizontal="center"/>
      <protection locked="0"/>
    </xf>
    <xf numFmtId="168" fontId="14" fillId="9" borderId="0" xfId="5" applyNumberFormat="1" applyFont="1" applyFill="1" applyBorder="1" applyAlignment="1" applyProtection="1">
      <alignment horizontal="center"/>
      <protection locked="0"/>
    </xf>
    <xf numFmtId="0" fontId="16" fillId="7" borderId="0" xfId="7" applyFont="1" applyFill="1" applyBorder="1" applyAlignment="1" applyProtection="1">
      <alignment vertical="top"/>
    </xf>
    <xf numFmtId="164" fontId="14" fillId="7" borderId="0" xfId="1" applyNumberFormat="1" applyFont="1" applyFill="1" applyBorder="1" applyProtection="1"/>
    <xf numFmtId="0" fontId="14" fillId="9" borderId="0" xfId="2" applyFont="1" applyFill="1" applyBorder="1" applyAlignment="1" applyProtection="1">
      <alignment horizontal="right"/>
      <protection locked="0"/>
    </xf>
    <xf numFmtId="166" fontId="14" fillId="9" borderId="0" xfId="6" applyNumberFormat="1" applyFont="1" applyFill="1" applyBorder="1" applyAlignment="1" applyProtection="1">
      <alignment horizontal="center"/>
      <protection locked="0"/>
    </xf>
    <xf numFmtId="167" fontId="14" fillId="9" borderId="0" xfId="2" applyNumberFormat="1" applyFont="1" applyFill="1" applyBorder="1" applyAlignment="1" applyProtection="1">
      <alignment horizontal="center"/>
      <protection locked="0"/>
    </xf>
    <xf numFmtId="10" fontId="14" fillId="0" borderId="0" xfId="0" applyNumberFormat="1" applyFont="1"/>
    <xf numFmtId="168" fontId="14" fillId="9" borderId="0" xfId="2" applyNumberFormat="1" applyFont="1" applyFill="1" applyBorder="1" applyAlignment="1" applyProtection="1">
      <alignment horizontal="center"/>
      <protection locked="0"/>
    </xf>
    <xf numFmtId="8" fontId="14" fillId="0" borderId="0" xfId="0" applyNumberFormat="1" applyFont="1"/>
    <xf numFmtId="44" fontId="14" fillId="0" borderId="0" xfId="1" applyFont="1" applyBorder="1" applyProtection="1"/>
    <xf numFmtId="2" fontId="14" fillId="0" borderId="0" xfId="0" applyNumberFormat="1" applyFont="1"/>
    <xf numFmtId="168" fontId="23" fillId="0" borderId="0" xfId="7" applyNumberFormat="1" applyFont="1" applyFill="1" applyBorder="1" applyAlignment="1" applyProtection="1">
      <alignment horizontal="right"/>
    </xf>
    <xf numFmtId="44" fontId="23" fillId="0" borderId="0" xfId="1" applyFont="1" applyFill="1" applyBorder="1" applyAlignment="1" applyProtection="1">
      <alignment horizontal="right"/>
    </xf>
    <xf numFmtId="43" fontId="23" fillId="0" borderId="0" xfId="7" applyNumberFormat="1" applyFont="1" applyFill="1" applyBorder="1" applyAlignment="1" applyProtection="1">
      <alignment horizontal="right"/>
    </xf>
    <xf numFmtId="0" fontId="16" fillId="8" borderId="0" xfId="7" applyFont="1" applyFill="1" applyBorder="1" applyAlignment="1" applyProtection="1">
      <alignment vertical="top" wrapText="1"/>
    </xf>
    <xf numFmtId="0" fontId="15" fillId="7" borderId="0" xfId="0" applyFont="1" applyFill="1" applyAlignment="1">
      <alignment horizontal="left"/>
    </xf>
    <xf numFmtId="0" fontId="14" fillId="7" borderId="0" xfId="0" applyFont="1" applyFill="1"/>
    <xf numFmtId="0" fontId="1" fillId="7" borderId="0" xfId="0" applyFont="1" applyFill="1"/>
    <xf numFmtId="0" fontId="0" fillId="7" borderId="0" xfId="0" applyFill="1"/>
    <xf numFmtId="0" fontId="21" fillId="7" borderId="0" xfId="8" applyFont="1" applyFill="1" applyBorder="1" applyAlignment="1" applyProtection="1">
      <alignment horizontal="left"/>
    </xf>
    <xf numFmtId="0" fontId="15" fillId="7" borderId="0" xfId="0" applyFont="1" applyFill="1" applyAlignment="1">
      <alignment horizontal="center"/>
    </xf>
    <xf numFmtId="0" fontId="14" fillId="8" borderId="0" xfId="0" applyFont="1" applyFill="1"/>
    <xf numFmtId="0" fontId="15" fillId="8" borderId="0" xfId="0" applyFont="1" applyFill="1" applyAlignment="1">
      <alignment horizontal="left"/>
    </xf>
    <xf numFmtId="0" fontId="15" fillId="8" borderId="0" xfId="0" applyFont="1" applyFill="1"/>
    <xf numFmtId="164" fontId="15" fillId="7" borderId="0" xfId="0" applyNumberFormat="1" applyFont="1" applyFill="1"/>
    <xf numFmtId="165" fontId="14" fillId="7" borderId="0" xfId="0" applyNumberFormat="1" applyFont="1" applyFill="1"/>
    <xf numFmtId="164" fontId="15" fillId="0" borderId="0" xfId="0" applyNumberFormat="1" applyFont="1"/>
    <xf numFmtId="43" fontId="14" fillId="0" borderId="0" xfId="0" applyNumberFormat="1" applyFont="1"/>
    <xf numFmtId="0" fontId="22" fillId="0" borderId="0" xfId="0" applyFont="1"/>
    <xf numFmtId="0" fontId="14" fillId="7" borderId="0" xfId="0" applyFont="1" applyFill="1" applyAlignment="1">
      <alignment vertical="center" wrapText="1"/>
    </xf>
    <xf numFmtId="0" fontId="16" fillId="7" borderId="0" xfId="0" applyFont="1" applyFill="1"/>
    <xf numFmtId="44" fontId="1" fillId="0" borderId="0" xfId="0" applyNumberFormat="1" applyFont="1"/>
    <xf numFmtId="9" fontId="14" fillId="0" borderId="0" xfId="5" applyFont="1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left"/>
    </xf>
    <xf numFmtId="0" fontId="22" fillId="10" borderId="0" xfId="0" applyFont="1" applyFill="1"/>
    <xf numFmtId="164" fontId="20" fillId="4" borderId="0" xfId="1" applyNumberFormat="1" applyFont="1" applyFill="1" applyBorder="1" applyAlignment="1" applyProtection="1">
      <alignment vertical="center"/>
    </xf>
    <xf numFmtId="0" fontId="17" fillId="4" borderId="0" xfId="0" applyFont="1" applyFill="1" applyAlignment="1">
      <alignment horizontal="left" vertical="center"/>
    </xf>
    <xf numFmtId="1" fontId="14" fillId="9" borderId="0" xfId="2" applyNumberFormat="1" applyFont="1" applyFill="1" applyBorder="1" applyAlignment="1" applyProtection="1">
      <alignment horizontal="right"/>
      <protection locked="0"/>
    </xf>
    <xf numFmtId="1" fontId="14" fillId="9" borderId="0" xfId="6" applyNumberFormat="1" applyFont="1" applyFill="1" applyBorder="1" applyAlignment="1" applyProtection="1">
      <alignment horizontal="right"/>
      <protection locked="0"/>
    </xf>
    <xf numFmtId="0" fontId="15" fillId="0" borderId="0" xfId="0" applyFont="1" applyAlignment="1">
      <alignment horizontal="right" vertical="top"/>
    </xf>
    <xf numFmtId="0" fontId="14" fillId="0" borderId="0" xfId="0" applyFont="1" applyAlignment="1">
      <alignment vertical="top" wrapText="1"/>
    </xf>
    <xf numFmtId="44" fontId="14" fillId="0" borderId="0" xfId="1" applyFont="1" applyFill="1"/>
    <xf numFmtId="44" fontId="0" fillId="0" borderId="0" xfId="0" applyNumberFormat="1"/>
    <xf numFmtId="0" fontId="14" fillId="4" borderId="0" xfId="0" applyFont="1" applyFill="1"/>
    <xf numFmtId="0" fontId="30" fillId="4" borderId="0" xfId="0" applyFont="1" applyFill="1" applyAlignment="1">
      <alignment horizontal="right"/>
    </xf>
    <xf numFmtId="0" fontId="15" fillId="4" borderId="0" xfId="0" applyFont="1" applyFill="1" applyAlignment="1">
      <alignment horizontal="left" vertical="center"/>
    </xf>
    <xf numFmtId="0" fontId="14" fillId="4" borderId="0" xfId="0" applyFont="1" applyFill="1" applyAlignment="1">
      <alignment vertical="top"/>
    </xf>
    <xf numFmtId="0" fontId="4" fillId="11" borderId="0" xfId="0" applyFont="1" applyFill="1"/>
    <xf numFmtId="43" fontId="0" fillId="0" borderId="0" xfId="0" applyNumberFormat="1"/>
    <xf numFmtId="0" fontId="31" fillId="4" borderId="0" xfId="0" applyFont="1" applyFill="1" applyAlignment="1">
      <alignment wrapText="1"/>
    </xf>
    <xf numFmtId="164" fontId="18" fillId="5" borderId="0" xfId="1" applyNumberFormat="1" applyFont="1" applyFill="1" applyBorder="1" applyAlignment="1" applyProtection="1">
      <alignment horizontal="right" vertical="center"/>
    </xf>
    <xf numFmtId="164" fontId="15" fillId="12" borderId="0" xfId="0" applyNumberFormat="1" applyFont="1" applyFill="1"/>
    <xf numFmtId="165" fontId="14" fillId="12" borderId="0" xfId="0" applyNumberFormat="1" applyFont="1" applyFill="1"/>
    <xf numFmtId="164" fontId="14" fillId="12" borderId="0" xfId="1" applyNumberFormat="1" applyFont="1" applyFill="1" applyBorder="1" applyProtection="1"/>
    <xf numFmtId="9" fontId="14" fillId="9" borderId="0" xfId="6" applyNumberFormat="1" applyFont="1" applyFill="1" applyBorder="1" applyAlignment="1" applyProtection="1">
      <alignment horizontal="center"/>
      <protection locked="0"/>
    </xf>
    <xf numFmtId="0" fontId="28" fillId="4" borderId="0" xfId="0" applyFont="1" applyFill="1" applyAlignment="1">
      <alignment vertical="center"/>
    </xf>
    <xf numFmtId="164" fontId="15" fillId="7" borderId="0" xfId="1" applyNumberFormat="1" applyFont="1" applyFill="1" applyBorder="1" applyProtection="1"/>
    <xf numFmtId="164" fontId="15" fillId="12" borderId="0" xfId="1" applyNumberFormat="1" applyFont="1" applyFill="1" applyBorder="1" applyProtection="1"/>
    <xf numFmtId="0" fontId="19" fillId="7" borderId="0" xfId="7" applyFont="1" applyFill="1" applyBorder="1" applyAlignment="1" applyProtection="1">
      <alignment vertical="top"/>
    </xf>
    <xf numFmtId="164" fontId="18" fillId="5" borderId="0" xfId="1" applyNumberFormat="1" applyFont="1" applyFill="1" applyBorder="1" applyAlignment="1" applyProtection="1">
      <alignment vertical="center"/>
    </xf>
    <xf numFmtId="164" fontId="24" fillId="0" borderId="0" xfId="0" applyNumberFormat="1" applyFont="1" applyAlignment="1">
      <alignment horizontal="left"/>
    </xf>
    <xf numFmtId="44" fontId="23" fillId="0" borderId="0" xfId="1" applyFont="1" applyFill="1" applyBorder="1" applyAlignment="1" applyProtection="1">
      <alignment horizontal="left"/>
    </xf>
    <xf numFmtId="44" fontId="22" fillId="10" borderId="0" xfId="1" applyFont="1" applyFill="1" applyBorder="1" applyAlignment="1" applyProtection="1">
      <alignment horizontal="left"/>
    </xf>
    <xf numFmtId="43" fontId="14" fillId="7" borderId="0" xfId="0" applyNumberFormat="1" applyFont="1" applyFill="1"/>
    <xf numFmtId="0" fontId="15" fillId="0" borderId="0" xfId="0" applyFont="1" applyAlignment="1">
      <alignment horizontal="right"/>
    </xf>
    <xf numFmtId="0" fontId="25" fillId="7" borderId="0" xfId="0" applyFont="1" applyFill="1" applyAlignment="1">
      <alignment horizontal="center" vertical="center"/>
    </xf>
    <xf numFmtId="0" fontId="16" fillId="7" borderId="0" xfId="7" applyFont="1" applyFill="1" applyBorder="1" applyAlignment="1" applyProtection="1">
      <alignment vertical="top"/>
    </xf>
    <xf numFmtId="0" fontId="26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top" wrapText="1"/>
    </xf>
    <xf numFmtId="0" fontId="28" fillId="7" borderId="0" xfId="0" applyFont="1" applyFill="1" applyAlignment="1">
      <alignment horizontal="center" vertical="center"/>
    </xf>
    <xf numFmtId="0" fontId="29" fillId="9" borderId="0" xfId="2" applyFont="1" applyFill="1" applyBorder="1" applyAlignment="1" applyProtection="1">
      <alignment horizontal="center" vertical="center"/>
      <protection locked="0"/>
    </xf>
    <xf numFmtId="0" fontId="16" fillId="7" borderId="0" xfId="7" applyFont="1" applyFill="1" applyBorder="1" applyAlignment="1" applyProtection="1">
      <alignment vertical="top" wrapText="1"/>
    </xf>
    <xf numFmtId="0" fontId="26" fillId="6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/>
    </xf>
    <xf numFmtId="0" fontId="16" fillId="7" borderId="0" xfId="7" applyFont="1" applyFill="1" applyAlignment="1">
      <alignment vertical="top"/>
    </xf>
    <xf numFmtId="0" fontId="26" fillId="13" borderId="0" xfId="0" applyFont="1" applyFill="1" applyAlignment="1">
      <alignment horizontal="center" vertical="center"/>
    </xf>
    <xf numFmtId="0" fontId="26" fillId="13" borderId="0" xfId="0" applyFont="1" applyFill="1" applyAlignment="1">
      <alignment horizontal="center" vertical="center" wrapText="1"/>
    </xf>
    <xf numFmtId="0" fontId="29" fillId="13" borderId="0" xfId="2" applyFont="1" applyFill="1" applyBorder="1" applyAlignment="1" applyProtection="1">
      <alignment horizontal="center" vertical="center"/>
      <protection locked="0"/>
    </xf>
    <xf numFmtId="43" fontId="14" fillId="12" borderId="0" xfId="0" applyNumberFormat="1" applyFont="1" applyFill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16" fillId="7" borderId="0" xfId="7" applyFont="1" applyFill="1" applyBorder="1" applyAlignment="1" applyProtection="1">
      <alignment horizontal="left" vertical="top"/>
    </xf>
  </cellXfs>
  <cellStyles count="9">
    <cellStyle name="Comma" xfId="6" builtinId="3"/>
    <cellStyle name="Currency" xfId="1" builtinId="4"/>
    <cellStyle name="Explanatory Text" xfId="7" builtinId="53"/>
    <cellStyle name="GH_Dark_H3" xfId="4" xr:uid="{575DF477-074F-45DE-A7F7-BFB1D51E5D4D}"/>
    <cellStyle name="Hyperlink" xfId="8" builtinId="8"/>
    <cellStyle name="Input" xfId="2" builtinId="20"/>
    <cellStyle name="Normal" xfId="0" builtinId="0"/>
    <cellStyle name="Normal 2" xfId="3" xr:uid="{BE780467-9D84-4C1D-B2B0-0AD966E684D4}"/>
    <cellStyle name="Percent" xfId="5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ED008C"/>
      <color rgb="FFF05A22"/>
      <color rgb="FF30318C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73269</xdr:rowOff>
    </xdr:from>
    <xdr:to>
      <xdr:col>3</xdr:col>
      <xdr:colOff>1279256</xdr:colOff>
      <xdr:row>4</xdr:row>
      <xdr:rowOff>73269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F7378-1C8F-4E50-82A9-86E67FD20B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2072"/>
        <a:stretch/>
      </xdr:blipFill>
      <xdr:spPr>
        <a:xfrm>
          <a:off x="419099" y="73269"/>
          <a:ext cx="3255322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7621</xdr:rowOff>
    </xdr:from>
    <xdr:to>
      <xdr:col>3</xdr:col>
      <xdr:colOff>1197625</xdr:colOff>
      <xdr:row>1</xdr:row>
      <xdr:rowOff>492035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7B7547-6E6C-48EF-B981-D5C4A33CAE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b="33566"/>
        <a:stretch/>
      </xdr:blipFill>
      <xdr:spPr>
        <a:xfrm>
          <a:off x="387531" y="7621"/>
          <a:ext cx="3227233" cy="640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ward P. Kranich" id="{316B8DBB-ED0F-4C90-AD37-16C8378172C2}" userId="S::EKranich@ctgreenbank.com::cab80148-e854-4768-8929-740607f8759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DF8618-9DD9-4B93-A94C-AADE9C84BBB2}" name="Table1" displayName="Table1" ref="V1:Y5" totalsRowShown="0" headerRowDxfId="7" dataDxfId="6" dataCellStyle="Currency">
  <autoFilter ref="V1:Y5" xr:uid="{66DF8618-9DD9-4B93-A94C-AADE9C84BBB2}"/>
  <tableColumns count="4">
    <tableColumn id="1" xr3:uid="{DA06B565-B532-44CD-8EE3-0161E2F5804C}" name="Step"/>
    <tableColumn id="2" xr3:uid="{F3E3D3DC-7E03-4DE4-8F2E-0D2B20ECFD70}" name="Small" dataDxfId="5" dataCellStyle="Currency"/>
    <tableColumn id="3" xr3:uid="{DA5EE52C-43D5-4461-8CB7-D117EEFA467F}" name="Medium" dataDxfId="4" dataCellStyle="Currency"/>
    <tableColumn id="4" xr3:uid="{265477B8-5C4E-4603-A66B-4489A81C00F2}" name="Large" dataDxfId="3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9" dT="2024-12-04T14:25:32.22" personId="{316B8DBB-ED0F-4C90-AD37-16C8378172C2}" id="{06E7EB50-F678-4A04-8D11-2F0522CEF74E}">
    <text>Old version of formula, too many arguments?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t.gov/DECD/Content/About_DECD/Research-and-Publications/02_Review_Publications/Distressed-Municipaliti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F2D5-CDA3-49FE-AE05-D295BD53F615}">
  <sheetPr>
    <pageSetUpPr fitToPage="1"/>
  </sheetPr>
  <dimension ref="B3:AF57"/>
  <sheetViews>
    <sheetView showGridLines="0" zoomScaleNormal="100" workbookViewId="0">
      <selection activeCell="C18" sqref="C18"/>
    </sheetView>
  </sheetViews>
  <sheetFormatPr defaultColWidth="9.109375" defaultRowHeight="13.2" x14ac:dyDescent="0.25"/>
  <cols>
    <col min="1" max="2" width="3.44140625" style="20" customWidth="1"/>
    <col min="3" max="3" width="29.109375" style="20" customWidth="1"/>
    <col min="4" max="4" width="48.6640625" style="20" customWidth="1"/>
    <col min="5" max="5" width="29.109375" style="20" customWidth="1"/>
    <col min="6" max="6" width="46.6640625" style="20" customWidth="1"/>
    <col min="7" max="7" width="17.109375" style="20" customWidth="1"/>
    <col min="8" max="8" width="16.88671875" style="20" customWidth="1"/>
    <col min="9" max="9" width="16" style="20" customWidth="1"/>
    <col min="10" max="10" width="26.88671875" style="20" bestFit="1" customWidth="1"/>
    <col min="11" max="12" width="14.109375" style="20" bestFit="1" customWidth="1"/>
    <col min="13" max="16" width="11.33203125" style="20" bestFit="1" customWidth="1"/>
    <col min="17" max="16384" width="9.109375" style="20"/>
  </cols>
  <sheetData>
    <row r="3" spans="3:9" x14ac:dyDescent="0.25">
      <c r="E3"/>
      <c r="F3"/>
    </row>
    <row r="4" spans="3:9" x14ac:dyDescent="0.25">
      <c r="E4"/>
      <c r="F4"/>
    </row>
    <row r="5" spans="3:9" x14ac:dyDescent="0.25">
      <c r="E5"/>
      <c r="F5" s="71" t="s">
        <v>167</v>
      </c>
    </row>
    <row r="6" spans="3:9" x14ac:dyDescent="0.25">
      <c r="C6" s="101" t="s">
        <v>151</v>
      </c>
      <c r="D6" s="101"/>
      <c r="E6" s="101"/>
      <c r="F6" s="101"/>
    </row>
    <row r="7" spans="3:9" x14ac:dyDescent="0.25">
      <c r="C7" s="101"/>
      <c r="D7" s="101"/>
      <c r="E7" s="101"/>
      <c r="F7" s="101"/>
    </row>
    <row r="8" spans="3:9" x14ac:dyDescent="0.25">
      <c r="C8" s="101"/>
      <c r="D8" s="101"/>
      <c r="E8" s="101"/>
      <c r="F8" s="101"/>
    </row>
    <row r="9" spans="3:9" ht="30" customHeight="1" x14ac:dyDescent="0.25">
      <c r="C9" s="102" t="s">
        <v>158</v>
      </c>
      <c r="D9" s="102"/>
      <c r="E9" s="102"/>
      <c r="F9" s="102"/>
      <c r="H9" s="72"/>
      <c r="I9" s="22"/>
    </row>
    <row r="10" spans="3:9" ht="29.25" customHeight="1" x14ac:dyDescent="0.25">
      <c r="C10" s="100" t="s">
        <v>154</v>
      </c>
      <c r="D10" s="100"/>
      <c r="E10" s="100"/>
      <c r="F10" s="100"/>
      <c r="G10" s="72"/>
      <c r="H10" s="72"/>
      <c r="I10" s="22"/>
    </row>
    <row r="11" spans="3:9" ht="12.75" customHeight="1" x14ac:dyDescent="0.25">
      <c r="C11" s="78" t="s">
        <v>153</v>
      </c>
      <c r="D11" s="78"/>
      <c r="E11" s="78"/>
      <c r="F11" s="78"/>
      <c r="G11" s="72"/>
      <c r="H11" s="72"/>
      <c r="I11" s="22"/>
    </row>
    <row r="12" spans="3:9" ht="41.25" customHeight="1" x14ac:dyDescent="0.25">
      <c r="C12" s="100" t="s">
        <v>155</v>
      </c>
      <c r="D12" s="100"/>
      <c r="E12" s="100"/>
      <c r="F12" s="100"/>
      <c r="G12" s="72"/>
      <c r="H12" s="72"/>
      <c r="I12" s="22"/>
    </row>
    <row r="13" spans="3:9" ht="9.75" customHeight="1" x14ac:dyDescent="0.25">
      <c r="C13" s="104" t="str">
        <f>CONCATENATE("Residential Battery System – ",$C$17," kW / ",$C$18," kWh")</f>
        <v>Residential Battery System – 20 kW / 30 kWh</v>
      </c>
      <c r="D13" s="104"/>
      <c r="E13" s="104"/>
      <c r="F13" s="104"/>
      <c r="G13" s="72"/>
      <c r="H13" s="72"/>
      <c r="I13" s="22"/>
    </row>
    <row r="14" spans="3:9" ht="9.75" customHeight="1" x14ac:dyDescent="0.25">
      <c r="C14" s="104"/>
      <c r="D14" s="104"/>
      <c r="E14" s="104"/>
      <c r="F14" s="104"/>
      <c r="G14" s="72"/>
      <c r="H14" s="72"/>
      <c r="I14" s="22"/>
    </row>
    <row r="15" spans="3:9" ht="9.75" customHeight="1" x14ac:dyDescent="0.25">
      <c r="C15" s="104"/>
      <c r="D15" s="104"/>
      <c r="E15" s="104"/>
      <c r="F15" s="104"/>
      <c r="G15" s="72"/>
      <c r="H15" s="72"/>
      <c r="I15" s="22"/>
    </row>
    <row r="16" spans="3:9" ht="12.75" customHeight="1" x14ac:dyDescent="0.25">
      <c r="C16" s="105" t="s">
        <v>0</v>
      </c>
      <c r="D16" s="105"/>
      <c r="E16" s="105" t="s">
        <v>1</v>
      </c>
      <c r="F16" s="105"/>
      <c r="G16" s="72"/>
      <c r="H16" s="72"/>
      <c r="I16" s="22"/>
    </row>
    <row r="17" spans="2:14" ht="12.75" customHeight="1" x14ac:dyDescent="0.25">
      <c r="B17" s="79">
        <v>1</v>
      </c>
      <c r="C17" s="33">
        <v>20</v>
      </c>
      <c r="D17" s="45" t="s">
        <v>2</v>
      </c>
      <c r="E17" s="46"/>
      <c r="F17" s="47"/>
      <c r="G17" s="72"/>
      <c r="H17" s="72"/>
      <c r="I17" s="22"/>
    </row>
    <row r="18" spans="2:14" ht="12.75" customHeight="1" x14ac:dyDescent="0.25">
      <c r="B18" s="79">
        <v>2</v>
      </c>
      <c r="C18" s="33">
        <v>30</v>
      </c>
      <c r="D18" s="45" t="s">
        <v>3</v>
      </c>
      <c r="E18" s="46"/>
      <c r="F18" s="47"/>
      <c r="G18" s="72"/>
      <c r="H18" s="72"/>
      <c r="I18" s="22"/>
    </row>
    <row r="19" spans="2:14" x14ac:dyDescent="0.25">
      <c r="B19" s="79">
        <v>3</v>
      </c>
      <c r="C19" s="70">
        <v>2026</v>
      </c>
      <c r="D19" s="45" t="s">
        <v>135</v>
      </c>
      <c r="E19" s="46"/>
      <c r="F19" s="46"/>
      <c r="G19" s="72"/>
      <c r="H19" s="72"/>
    </row>
    <row r="20" spans="2:14" x14ac:dyDescent="0.25">
      <c r="B20" s="2"/>
      <c r="C20" s="105" t="s">
        <v>148</v>
      </c>
      <c r="D20" s="105"/>
      <c r="E20" s="48"/>
      <c r="F20" s="48"/>
      <c r="G20" s="72"/>
      <c r="H20" s="72"/>
    </row>
    <row r="21" spans="2:14" x14ac:dyDescent="0.25">
      <c r="B21" s="79">
        <v>4</v>
      </c>
      <c r="C21" s="34" t="s">
        <v>6</v>
      </c>
      <c r="D21" s="49" t="s">
        <v>7</v>
      </c>
      <c r="E21" s="98" t="s">
        <v>147</v>
      </c>
      <c r="F21" s="98"/>
      <c r="G21" s="72"/>
      <c r="H21" s="72"/>
    </row>
    <row r="22" spans="2:14" x14ac:dyDescent="0.25">
      <c r="B22" s="79">
        <v>5</v>
      </c>
      <c r="C22" s="26" t="s">
        <v>60</v>
      </c>
      <c r="D22" s="45" t="s">
        <v>161</v>
      </c>
      <c r="E22" s="98" t="s">
        <v>146</v>
      </c>
      <c r="F22" s="98"/>
      <c r="G22" s="72"/>
      <c r="H22" s="72"/>
    </row>
    <row r="23" spans="2:14" x14ac:dyDescent="0.25">
      <c r="B23" s="79">
        <v>6</v>
      </c>
      <c r="C23" s="26" t="s">
        <v>8</v>
      </c>
      <c r="D23" s="45" t="s">
        <v>9</v>
      </c>
      <c r="E23" s="98" t="s">
        <v>145</v>
      </c>
      <c r="F23" s="98"/>
      <c r="G23" s="72"/>
      <c r="H23" s="72"/>
    </row>
    <row r="24" spans="2:14" x14ac:dyDescent="0.25">
      <c r="B24" s="2"/>
      <c r="C24" s="105" t="s">
        <v>149</v>
      </c>
      <c r="D24" s="105"/>
      <c r="E24" s="48"/>
      <c r="F24" s="48"/>
      <c r="G24" s="72"/>
      <c r="H24" s="72"/>
    </row>
    <row r="25" spans="2:14" x14ac:dyDescent="0.25">
      <c r="B25" s="79">
        <v>7</v>
      </c>
      <c r="C25" s="35">
        <v>2.5000000000000001E-2</v>
      </c>
      <c r="D25" s="45" t="s">
        <v>160</v>
      </c>
      <c r="E25" s="98" t="s">
        <v>157</v>
      </c>
      <c r="F25" s="98"/>
      <c r="G25" s="72"/>
      <c r="H25" s="72"/>
      <c r="L25" s="36"/>
    </row>
    <row r="26" spans="2:14" x14ac:dyDescent="0.25">
      <c r="B26" s="79">
        <v>8</v>
      </c>
      <c r="C26" s="29">
        <v>0.62</v>
      </c>
      <c r="D26" s="45" t="s">
        <v>156</v>
      </c>
      <c r="E26" s="106" t="s">
        <v>164</v>
      </c>
      <c r="F26" s="106"/>
      <c r="G26" s="72"/>
      <c r="H26" s="72"/>
      <c r="L26" s="36"/>
    </row>
    <row r="27" spans="2:14" x14ac:dyDescent="0.25">
      <c r="B27" s="79">
        <v>9</v>
      </c>
      <c r="C27" s="37">
        <v>2.5</v>
      </c>
      <c r="D27" s="45" t="s">
        <v>11</v>
      </c>
      <c r="E27" s="103" t="s">
        <v>12</v>
      </c>
      <c r="F27" s="103"/>
      <c r="G27" s="72"/>
      <c r="H27" s="72"/>
    </row>
    <row r="28" spans="2:14" x14ac:dyDescent="0.25">
      <c r="C28" s="51"/>
      <c r="D28" s="51"/>
      <c r="E28" s="44"/>
      <c r="F28" s="44"/>
      <c r="G28" s="72"/>
      <c r="H28" s="72"/>
    </row>
    <row r="29" spans="2:14" ht="30" customHeight="1" x14ac:dyDescent="0.25">
      <c r="C29" s="104" t="s">
        <v>130</v>
      </c>
      <c r="D29" s="104"/>
      <c r="E29" s="104"/>
      <c r="F29" s="104"/>
      <c r="G29"/>
      <c r="H29"/>
      <c r="I29" s="38"/>
      <c r="L29" s="38"/>
      <c r="N29" s="39"/>
    </row>
    <row r="30" spans="2:14" ht="22.5" customHeight="1" x14ac:dyDescent="0.25">
      <c r="C30" s="75"/>
      <c r="D30" s="68" t="s">
        <v>129</v>
      </c>
      <c r="E30" s="67">
        <f>NameplatekWh*D52</f>
        <v>900</v>
      </c>
      <c r="F30" s="68"/>
      <c r="H30"/>
      <c r="L30" s="38"/>
      <c r="N30" s="39"/>
    </row>
    <row r="31" spans="2:14" ht="20.25" customHeight="1" x14ac:dyDescent="0.25">
      <c r="B31" s="24"/>
      <c r="C31" s="75"/>
      <c r="D31" s="68" t="s">
        <v>131</v>
      </c>
      <c r="E31" s="67">
        <f>F46</f>
        <v>36610.36765821826</v>
      </c>
      <c r="F31" s="81"/>
      <c r="G31" s="73"/>
      <c r="H31" s="74"/>
    </row>
    <row r="32" spans="2:14" x14ac:dyDescent="0.25">
      <c r="C32" s="75"/>
      <c r="D32" s="77" t="s">
        <v>150</v>
      </c>
      <c r="E32" s="76" t="str">
        <f>IF(NameplatekW&gt;E36,"Average kW","Limited by Inverter Size")</f>
        <v>Average kW</v>
      </c>
      <c r="F32" s="81"/>
      <c r="H32"/>
    </row>
    <row r="33" spans="2:32" x14ac:dyDescent="0.25">
      <c r="C33" s="51"/>
      <c r="D33" s="51"/>
      <c r="E33" s="51"/>
      <c r="F33" s="51"/>
      <c r="G33"/>
      <c r="H33"/>
    </row>
    <row r="34" spans="2:32" ht="30" customHeight="1" x14ac:dyDescent="0.25">
      <c r="C34" s="99" t="s">
        <v>13</v>
      </c>
      <c r="D34" s="99"/>
      <c r="E34" s="99"/>
      <c r="F34" s="99"/>
      <c r="G34"/>
      <c r="H34"/>
    </row>
    <row r="35" spans="2:32" x14ac:dyDescent="0.25">
      <c r="C35" s="52" t="s">
        <v>14</v>
      </c>
      <c r="D35" s="53" t="s">
        <v>15</v>
      </c>
      <c r="E35" s="53" t="s">
        <v>16</v>
      </c>
      <c r="F35" s="53" t="s">
        <v>17</v>
      </c>
      <c r="G35"/>
      <c r="H35"/>
    </row>
    <row r="36" spans="2:32" x14ac:dyDescent="0.25">
      <c r="C36" s="54" t="s">
        <v>18</v>
      </c>
      <c r="D36" s="95">
        <f>C18</f>
        <v>30</v>
      </c>
      <c r="E36" s="95">
        <f>MIN($C$17,$D36/$C$27*$C$26)</f>
        <v>7.4399999999999995</v>
      </c>
      <c r="F36" s="32">
        <f t="shared" ref="F36:F45" si="0">$D$57*(MIN(E36,$C$17))</f>
        <v>4091.9999999999995</v>
      </c>
      <c r="G36"/>
      <c r="H36" s="80"/>
      <c r="J36" s="38"/>
      <c r="K36" s="40"/>
    </row>
    <row r="37" spans="2:32" s="24" customFormat="1" x14ac:dyDescent="0.25">
      <c r="B37" s="20"/>
      <c r="C37" s="56" t="s">
        <v>19</v>
      </c>
      <c r="D37" s="57">
        <f t="shared" ref="D37:D45" si="1">D36*(1-$C$25)</f>
        <v>29.25</v>
      </c>
      <c r="E37" s="110">
        <f t="shared" ref="E37:E45" si="2">MIN($C$17,$D37/$C$27*$C$26)</f>
        <v>7.2539999999999996</v>
      </c>
      <c r="F37" s="85">
        <f t="shared" si="0"/>
        <v>3989.7</v>
      </c>
      <c r="G37"/>
      <c r="H37"/>
      <c r="K37" s="4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x14ac:dyDescent="0.25">
      <c r="C38" s="54" t="s">
        <v>20</v>
      </c>
      <c r="D38" s="95">
        <f t="shared" si="1"/>
        <v>28.518750000000001</v>
      </c>
      <c r="E38" s="95">
        <f t="shared" si="2"/>
        <v>7.0726500000000003</v>
      </c>
      <c r="F38" s="32">
        <f t="shared" si="0"/>
        <v>3889.9575</v>
      </c>
      <c r="G38"/>
      <c r="H38"/>
      <c r="K38" s="40"/>
    </row>
    <row r="39" spans="2:32" x14ac:dyDescent="0.25">
      <c r="C39" s="56" t="s">
        <v>21</v>
      </c>
      <c r="D39" s="57">
        <f t="shared" si="1"/>
        <v>27.805781249999999</v>
      </c>
      <c r="E39" s="110">
        <f t="shared" si="2"/>
        <v>6.8958337499999995</v>
      </c>
      <c r="F39" s="85">
        <f t="shared" si="0"/>
        <v>3792.7085625</v>
      </c>
      <c r="G39"/>
      <c r="H39"/>
      <c r="K39" s="40"/>
    </row>
    <row r="40" spans="2:32" x14ac:dyDescent="0.25">
      <c r="C40" s="54" t="s">
        <v>22</v>
      </c>
      <c r="D40" s="95">
        <f t="shared" si="1"/>
        <v>27.110636718749998</v>
      </c>
      <c r="E40" s="95">
        <f t="shared" si="2"/>
        <v>6.72343790625</v>
      </c>
      <c r="F40" s="32">
        <f t="shared" si="0"/>
        <v>3697.8908484375002</v>
      </c>
      <c r="G40"/>
      <c r="H40"/>
      <c r="K40" s="40"/>
    </row>
    <row r="41" spans="2:32" x14ac:dyDescent="0.25">
      <c r="C41" s="56" t="s">
        <v>23</v>
      </c>
      <c r="D41" s="57">
        <f t="shared" si="1"/>
        <v>26.432870800781249</v>
      </c>
      <c r="E41" s="110">
        <f t="shared" si="2"/>
        <v>6.5553519585937501</v>
      </c>
      <c r="F41" s="85">
        <f t="shared" si="0"/>
        <v>3605.4435772265624</v>
      </c>
      <c r="G41"/>
      <c r="H41"/>
      <c r="K41" s="40"/>
    </row>
    <row r="42" spans="2:32" x14ac:dyDescent="0.25">
      <c r="C42" s="54" t="s">
        <v>24</v>
      </c>
      <c r="D42" s="95">
        <f t="shared" si="1"/>
        <v>25.772049030761718</v>
      </c>
      <c r="E42" s="95">
        <f t="shared" si="2"/>
        <v>6.3914681596289054</v>
      </c>
      <c r="F42" s="32">
        <f t="shared" si="0"/>
        <v>3515.3074877958979</v>
      </c>
      <c r="G42"/>
      <c r="H42"/>
      <c r="K42" s="40"/>
    </row>
    <row r="43" spans="2:32" x14ac:dyDescent="0.25">
      <c r="C43" s="56" t="s">
        <v>25</v>
      </c>
      <c r="D43" s="57">
        <f t="shared" si="1"/>
        <v>25.127747804992673</v>
      </c>
      <c r="E43" s="110">
        <f t="shared" si="2"/>
        <v>6.2316814556381832</v>
      </c>
      <c r="F43" s="85">
        <f t="shared" si="0"/>
        <v>3427.4248006010007</v>
      </c>
      <c r="G43"/>
      <c r="H43"/>
      <c r="K43" s="40"/>
    </row>
    <row r="44" spans="2:32" x14ac:dyDescent="0.25">
      <c r="C44" s="54" t="s">
        <v>26</v>
      </c>
      <c r="D44" s="95">
        <f t="shared" si="1"/>
        <v>24.499554109867855</v>
      </c>
      <c r="E44" s="95">
        <f t="shared" si="2"/>
        <v>6.0758894192472281</v>
      </c>
      <c r="F44" s="32">
        <f t="shared" si="0"/>
        <v>3341.7391805859756</v>
      </c>
      <c r="G44"/>
      <c r="H44"/>
      <c r="K44" s="40"/>
    </row>
    <row r="45" spans="2:32" x14ac:dyDescent="0.25">
      <c r="C45" s="56" t="s">
        <v>27</v>
      </c>
      <c r="D45" s="57">
        <f t="shared" si="1"/>
        <v>23.887065257121158</v>
      </c>
      <c r="E45" s="110">
        <f t="shared" si="2"/>
        <v>5.923992183766047</v>
      </c>
      <c r="F45" s="85">
        <f t="shared" si="0"/>
        <v>3258.1957010713259</v>
      </c>
      <c r="G45"/>
      <c r="H45"/>
      <c r="K45" s="40"/>
    </row>
    <row r="46" spans="2:32" x14ac:dyDescent="0.25">
      <c r="C46" s="54" t="s">
        <v>17</v>
      </c>
      <c r="D46" s="46"/>
      <c r="E46" s="46"/>
      <c r="F46" s="54">
        <f>SUM(F36:F45)</f>
        <v>36610.36765821826</v>
      </c>
      <c r="G46"/>
      <c r="H46"/>
      <c r="I46" s="24"/>
    </row>
    <row r="49" spans="3:6" x14ac:dyDescent="0.25">
      <c r="C49" s="97" t="s">
        <v>163</v>
      </c>
      <c r="D49" s="97"/>
    </row>
    <row r="50" spans="3:6" x14ac:dyDescent="0.25">
      <c r="C50" s="58" t="s">
        <v>29</v>
      </c>
      <c r="D50" s="93">
        <v>30</v>
      </c>
    </row>
    <row r="51" spans="3:6" x14ac:dyDescent="0.25">
      <c r="C51" s="58" t="s">
        <v>30</v>
      </c>
      <c r="D51" s="93">
        <v>130</v>
      </c>
    </row>
    <row r="52" spans="3:6" x14ac:dyDescent="0.25">
      <c r="C52" s="66" t="s">
        <v>32</v>
      </c>
      <c r="D52" s="94">
        <f>IF(C23="Yes",D51,D50)</f>
        <v>30</v>
      </c>
    </row>
    <row r="53" spans="3:6" x14ac:dyDescent="0.25">
      <c r="C53" s="97" t="s">
        <v>28</v>
      </c>
      <c r="D53" s="97"/>
    </row>
    <row r="54" spans="3:6" x14ac:dyDescent="0.25">
      <c r="C54" s="58" t="s">
        <v>29</v>
      </c>
      <c r="D54" s="93">
        <v>300</v>
      </c>
      <c r="E54" s="58"/>
      <c r="F54" s="43"/>
    </row>
    <row r="55" spans="3:6" x14ac:dyDescent="0.25">
      <c r="C55" s="58" t="s">
        <v>31</v>
      </c>
      <c r="D55" s="93">
        <v>450</v>
      </c>
      <c r="E55" s="58"/>
      <c r="F55" s="43"/>
    </row>
    <row r="56" spans="3:6" x14ac:dyDescent="0.25">
      <c r="C56" s="58" t="s">
        <v>33</v>
      </c>
      <c r="D56" s="93">
        <v>550</v>
      </c>
    </row>
    <row r="57" spans="3:6" x14ac:dyDescent="0.25">
      <c r="C57" s="66" t="s">
        <v>32</v>
      </c>
      <c r="D57" s="94">
        <f>IF(C22="No",IF(C21&lt;&gt;"N/A",D55,D54),D56)</f>
        <v>550</v>
      </c>
    </row>
  </sheetData>
  <mergeCells count="19">
    <mergeCell ref="C6:F8"/>
    <mergeCell ref="C9:F9"/>
    <mergeCell ref="E27:F27"/>
    <mergeCell ref="C29:F29"/>
    <mergeCell ref="C24:D24"/>
    <mergeCell ref="E25:F25"/>
    <mergeCell ref="E26:F26"/>
    <mergeCell ref="C13:F15"/>
    <mergeCell ref="C16:D16"/>
    <mergeCell ref="E16:F16"/>
    <mergeCell ref="C20:D20"/>
    <mergeCell ref="E22:F22"/>
    <mergeCell ref="C12:F12"/>
    <mergeCell ref="E23:F23"/>
    <mergeCell ref="C49:D49"/>
    <mergeCell ref="C53:D53"/>
    <mergeCell ref="E21:F21"/>
    <mergeCell ref="C34:F34"/>
    <mergeCell ref="C10:F10"/>
  </mergeCells>
  <conditionalFormatting sqref="E30">
    <cfRule type="containsText" dxfId="2" priority="7" operator="containsText" text="Not">
      <formula>NOT(ISERROR(SEARCH("Not",E30)))</formula>
    </cfRule>
  </conditionalFormatting>
  <hyperlinks>
    <hyperlink ref="D21" r:id="rId1" xr:uid="{2D2FACCC-0487-4EC3-8360-0A1692EAE868}"/>
  </hyperlinks>
  <pageMargins left="0.7" right="0.7" top="0.75" bottom="0.75" header="0.3" footer="0.3"/>
  <pageSetup scale="61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A3F7599-B1B1-46DE-8BF9-64D3C41617F0}">
          <x14:formula1>
            <xm:f>Picklists!$D$2</xm:f>
          </x14:formula1>
          <xm:sqref>C19</xm:sqref>
        </x14:dataValidation>
        <x14:dataValidation type="list" allowBlank="1" showInputMessage="1" showErrorMessage="1" xr:uid="{6B79C78A-1C3B-4208-B77D-348C48D19B92}">
          <x14:formula1>
            <xm:f>Picklists!$J$2:$J$22</xm:f>
          </x14:formula1>
          <xm:sqref>C27</xm:sqref>
        </x14:dataValidation>
        <x14:dataValidation type="list" errorStyle="information" allowBlank="1" showInputMessage="1" showErrorMessage="1" xr:uid="{0694CB16-E70A-4F3A-8B28-57ED0F224590}">
          <x14:formula1>
            <xm:f>Picklists!$H$2:$H$36</xm:f>
          </x14:formula1>
          <xm:sqref>C21</xm:sqref>
        </x14:dataValidation>
        <x14:dataValidation type="list" allowBlank="1" showInputMessage="1" showErrorMessage="1" xr:uid="{73320C01-932D-4240-84FA-B96BBF102DA4}">
          <x14:formula1>
            <xm:f>Picklists!$A$2:$A$3</xm:f>
          </x14:formula1>
          <xm:sqref>C22:C23</xm:sqref>
        </x14:dataValidation>
        <x14:dataValidation type="list" allowBlank="1" showInputMessage="1" showErrorMessage="1" xr:uid="{A42C783A-173C-4EB5-8A81-68184AD4D3A5}">
          <x14:formula1>
            <xm:f>Picklists!$C$2:$C$22</xm:f>
          </x14:formula1>
          <xm:sqref>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A56D-1ECB-407D-BF98-7C5E48A1BF2C}">
  <sheetPr>
    <pageSetUpPr fitToPage="1"/>
  </sheetPr>
  <dimension ref="B2:K71"/>
  <sheetViews>
    <sheetView showGridLines="0" tabSelected="1" topLeftCell="A2" zoomScaleNormal="100" workbookViewId="0">
      <selection activeCell="F42" sqref="F42"/>
    </sheetView>
  </sheetViews>
  <sheetFormatPr defaultColWidth="9.109375" defaultRowHeight="13.2" x14ac:dyDescent="0.25"/>
  <cols>
    <col min="1" max="1" width="3.109375" style="20" customWidth="1"/>
    <col min="2" max="2" width="3.44140625" style="20" customWidth="1"/>
    <col min="3" max="3" width="29.88671875" style="20" customWidth="1"/>
    <col min="4" max="4" width="45.5546875" style="20" customWidth="1"/>
    <col min="5" max="5" width="26.44140625" style="20" customWidth="1"/>
    <col min="6" max="6" width="51.109375" style="20" customWidth="1"/>
    <col min="7" max="7" width="14" style="20" customWidth="1"/>
    <col min="8" max="8" width="25" style="20" bestFit="1" customWidth="1"/>
    <col min="9" max="9" width="11" style="20" bestFit="1" customWidth="1"/>
    <col min="10" max="10" width="14.88671875" style="20" bestFit="1" customWidth="1"/>
    <col min="11" max="11" width="10.33203125" style="20" bestFit="1" customWidth="1"/>
    <col min="12" max="13" width="9.109375" style="20"/>
    <col min="14" max="14" width="27.6640625" style="20" customWidth="1"/>
    <col min="15" max="15" width="15.44140625" style="20" customWidth="1"/>
    <col min="16" max="16" width="9.6640625" style="20" bestFit="1" customWidth="1"/>
    <col min="17" max="16384" width="9.109375" style="20"/>
  </cols>
  <sheetData>
    <row r="2" spans="2:7" ht="41.25" customHeight="1" x14ac:dyDescent="0.25">
      <c r="F2" s="96" t="s">
        <v>167</v>
      </c>
    </row>
    <row r="3" spans="2:7" x14ac:dyDescent="0.25">
      <c r="C3" s="101" t="s">
        <v>152</v>
      </c>
      <c r="D3" s="101"/>
      <c r="E3" s="101"/>
      <c r="F3" s="101"/>
    </row>
    <row r="4" spans="2:7" x14ac:dyDescent="0.25">
      <c r="C4" s="101"/>
      <c r="D4" s="101"/>
      <c r="E4" s="101"/>
      <c r="F4" s="101"/>
    </row>
    <row r="5" spans="2:7" x14ac:dyDescent="0.25">
      <c r="C5" s="101"/>
      <c r="D5" s="101"/>
      <c r="E5" s="101"/>
      <c r="F5" s="101"/>
    </row>
    <row r="6" spans="2:7" ht="21.75" customHeight="1" x14ac:dyDescent="0.25">
      <c r="C6" s="109" t="s">
        <v>159</v>
      </c>
      <c r="D6" s="109"/>
      <c r="E6" s="109"/>
      <c r="F6" s="109"/>
    </row>
    <row r="7" spans="2:7" ht="21.75" customHeight="1" x14ac:dyDescent="0.25">
      <c r="C7" s="78" t="s">
        <v>154</v>
      </c>
      <c r="D7" s="78"/>
      <c r="E7" s="78"/>
      <c r="F7" s="78"/>
    </row>
    <row r="8" spans="2:7" ht="12.75" customHeight="1" x14ac:dyDescent="0.25">
      <c r="C8" s="78" t="s">
        <v>153</v>
      </c>
      <c r="D8" s="78"/>
      <c r="E8" s="78"/>
      <c r="F8" s="78"/>
      <c r="G8" s="21"/>
    </row>
    <row r="9" spans="2:7" ht="12.75" customHeight="1" x14ac:dyDescent="0.25">
      <c r="C9" s="100" t="s">
        <v>155</v>
      </c>
      <c r="D9" s="100"/>
      <c r="E9" s="100"/>
      <c r="F9" s="100"/>
      <c r="G9" s="21"/>
    </row>
    <row r="10" spans="2:7" ht="12.75" customHeight="1" x14ac:dyDescent="0.25">
      <c r="C10" s="100"/>
      <c r="D10" s="100"/>
      <c r="E10" s="100"/>
      <c r="F10" s="100"/>
      <c r="G10" s="21"/>
    </row>
    <row r="11" spans="2:7" ht="21" customHeight="1" x14ac:dyDescent="0.25">
      <c r="C11" s="87"/>
      <c r="D11" s="87"/>
      <c r="E11" s="87"/>
      <c r="F11" s="87"/>
      <c r="G11" s="21"/>
    </row>
    <row r="12" spans="2:7" ht="9.75" customHeight="1" x14ac:dyDescent="0.25">
      <c r="C12" s="108" t="str">
        <f>CONCATENATE("C&amp;I"," ","Battery System – ",$C$16," kW / ",$C$17," kWh")</f>
        <v>C&amp;I Battery System – 5000 kW / 4000 kWh</v>
      </c>
      <c r="D12" s="108"/>
      <c r="E12" s="108"/>
      <c r="F12" s="108"/>
      <c r="G12" s="21"/>
    </row>
    <row r="13" spans="2:7" ht="9.75" customHeight="1" x14ac:dyDescent="0.25">
      <c r="C13" s="108"/>
      <c r="D13" s="108"/>
      <c r="E13" s="108"/>
      <c r="F13" s="108"/>
      <c r="G13" s="21"/>
    </row>
    <row r="14" spans="2:7" ht="9.75" customHeight="1" x14ac:dyDescent="0.25">
      <c r="C14" s="108"/>
      <c r="D14" s="108"/>
      <c r="E14" s="108"/>
      <c r="F14" s="108"/>
      <c r="G14" s="21"/>
    </row>
    <row r="15" spans="2:7" ht="12.75" customHeight="1" x14ac:dyDescent="0.25">
      <c r="C15" s="105" t="s">
        <v>0</v>
      </c>
      <c r="D15" s="105"/>
      <c r="E15" s="105" t="s">
        <v>1</v>
      </c>
      <c r="F15" s="105"/>
      <c r="G15" s="21"/>
    </row>
    <row r="16" spans="2:7" ht="12.75" customHeight="1" x14ac:dyDescent="0.25">
      <c r="B16" s="79">
        <v>1</v>
      </c>
      <c r="C16" s="25">
        <v>5000</v>
      </c>
      <c r="D16" s="45" t="s">
        <v>2</v>
      </c>
      <c r="E16" s="59"/>
      <c r="F16" s="46"/>
      <c r="G16" s="21"/>
    </row>
    <row r="17" spans="2:11" ht="13.5" customHeight="1" x14ac:dyDescent="0.25">
      <c r="B17" s="79">
        <v>2</v>
      </c>
      <c r="C17" s="25">
        <v>4000</v>
      </c>
      <c r="D17" s="45" t="s">
        <v>3</v>
      </c>
      <c r="E17" s="59"/>
      <c r="F17" s="59"/>
      <c r="G17" s="21"/>
    </row>
    <row r="18" spans="2:11" ht="12.75" customHeight="1" x14ac:dyDescent="0.25">
      <c r="B18" s="79">
        <v>3</v>
      </c>
      <c r="C18" s="69">
        <v>2026</v>
      </c>
      <c r="D18" s="45" t="s">
        <v>135</v>
      </c>
      <c r="E18" s="46"/>
      <c r="F18" s="46"/>
    </row>
    <row r="19" spans="2:11" x14ac:dyDescent="0.25">
      <c r="B19" s="2"/>
      <c r="C19" s="105" t="s">
        <v>35</v>
      </c>
      <c r="D19" s="105"/>
      <c r="E19" s="46"/>
      <c r="F19" s="46"/>
    </row>
    <row r="20" spans="2:11" x14ac:dyDescent="0.25">
      <c r="B20" s="79">
        <v>4</v>
      </c>
      <c r="C20" s="27">
        <v>150</v>
      </c>
      <c r="D20" s="50" t="s">
        <v>36</v>
      </c>
      <c r="E20" s="113" t="str">
        <f>IF(C20&lt;200.1,"This project qualifies for the Small Business Priority Customer adder","")</f>
        <v>This project qualifies for the Small Business Priority Customer adder</v>
      </c>
      <c r="F20" s="113"/>
    </row>
    <row r="21" spans="2:11" ht="12.75" customHeight="1" x14ac:dyDescent="0.25">
      <c r="B21" s="79">
        <v>5</v>
      </c>
      <c r="C21" s="26" t="s">
        <v>67</v>
      </c>
      <c r="D21" s="50" t="s">
        <v>5</v>
      </c>
      <c r="E21" s="31" t="s">
        <v>162</v>
      </c>
      <c r="F21" s="90"/>
      <c r="G21" s="22"/>
      <c r="H21" s="22"/>
      <c r="I21" s="22"/>
      <c r="J21" s="22"/>
      <c r="K21" s="22"/>
    </row>
    <row r="22" spans="2:11" ht="12.75" customHeight="1" x14ac:dyDescent="0.25">
      <c r="B22" s="2"/>
      <c r="C22" s="105" t="s">
        <v>10</v>
      </c>
      <c r="D22" s="105"/>
      <c r="E22" s="48"/>
      <c r="F22" s="48"/>
      <c r="G22" s="22"/>
      <c r="H22" s="22"/>
      <c r="I22" s="22"/>
      <c r="J22" s="22"/>
      <c r="K22" s="22"/>
    </row>
    <row r="23" spans="2:11" ht="12.75" customHeight="1" x14ac:dyDescent="0.25">
      <c r="B23" s="79">
        <v>6</v>
      </c>
      <c r="C23" s="28">
        <v>2.5000000000000001E-2</v>
      </c>
      <c r="D23" s="45" t="s">
        <v>160</v>
      </c>
      <c r="E23" s="31" t="s">
        <v>38</v>
      </c>
      <c r="F23" s="46"/>
      <c r="G23" s="22"/>
      <c r="H23" s="22"/>
      <c r="I23" s="22"/>
      <c r="J23" s="22"/>
      <c r="K23" s="22"/>
    </row>
    <row r="24" spans="2:11" ht="12.75" customHeight="1" x14ac:dyDescent="0.25">
      <c r="B24" s="79">
        <v>7</v>
      </c>
      <c r="C24" s="86">
        <v>0.62</v>
      </c>
      <c r="D24" s="45" t="s">
        <v>156</v>
      </c>
      <c r="E24" s="106" t="s">
        <v>164</v>
      </c>
      <c r="F24" s="106"/>
      <c r="G24" s="22"/>
      <c r="H24" s="22"/>
      <c r="I24" s="22"/>
      <c r="J24" s="22"/>
      <c r="K24" s="22"/>
    </row>
    <row r="25" spans="2:11" ht="12.75" customHeight="1" x14ac:dyDescent="0.25">
      <c r="B25" s="79">
        <v>8</v>
      </c>
      <c r="C25" s="30">
        <v>2.5</v>
      </c>
      <c r="D25" s="45" t="s">
        <v>11</v>
      </c>
      <c r="E25" s="60" t="s">
        <v>12</v>
      </c>
      <c r="F25" s="46"/>
      <c r="G25" s="22"/>
      <c r="H25" s="22"/>
      <c r="I25" s="22"/>
      <c r="J25" s="22"/>
      <c r="K25" s="22"/>
    </row>
    <row r="26" spans="2:11" ht="12.75" customHeight="1" x14ac:dyDescent="0.25">
      <c r="C26" s="51"/>
      <c r="D26" s="51"/>
      <c r="E26" s="51"/>
      <c r="F26" s="51"/>
      <c r="G26" s="22"/>
      <c r="H26" s="22"/>
      <c r="I26" s="22"/>
      <c r="J26" s="22"/>
      <c r="K26" s="22"/>
    </row>
    <row r="27" spans="2:11" ht="30" customHeight="1" x14ac:dyDescent="0.25">
      <c r="C27" s="107" t="s">
        <v>130</v>
      </c>
      <c r="D27" s="107"/>
      <c r="E27" s="107"/>
      <c r="F27" s="107"/>
      <c r="G27" s="61"/>
      <c r="H27" s="22"/>
      <c r="I27" s="22"/>
      <c r="J27" s="22"/>
      <c r="K27" s="22"/>
    </row>
    <row r="28" spans="2:11" ht="15.75" customHeight="1" x14ac:dyDescent="0.25">
      <c r="C28" s="75"/>
      <c r="D28" s="68" t="s">
        <v>129</v>
      </c>
      <c r="E28" s="82">
        <f>IF(Nameplate_Capacity_kWh*D48=0,"Not Applicable",Nameplate_Capacity_kWh*D48)</f>
        <v>40000</v>
      </c>
      <c r="F28" s="75"/>
      <c r="G28" s="22"/>
      <c r="H28" s="22"/>
      <c r="I28" s="22"/>
      <c r="J28" s="22"/>
      <c r="K28" s="22"/>
    </row>
    <row r="29" spans="2:11" ht="15.75" customHeight="1" x14ac:dyDescent="0.25">
      <c r="C29" s="75"/>
      <c r="D29" s="68" t="s">
        <v>131</v>
      </c>
      <c r="E29" s="91">
        <f>F44</f>
        <v>2260885.5458978959</v>
      </c>
      <c r="F29" s="75"/>
      <c r="G29" s="22"/>
      <c r="H29" s="22"/>
      <c r="I29" s="22"/>
      <c r="J29" s="22"/>
      <c r="K29" s="22"/>
    </row>
    <row r="30" spans="2:11" ht="12.75" customHeight="1" x14ac:dyDescent="0.25">
      <c r="C30" s="75"/>
      <c r="D30" s="77" t="s">
        <v>150</v>
      </c>
      <c r="E30" s="76" t="str">
        <f>IF(Nameplate_Power_kW&gt;E34,"Average kW","Limited by Inverter Size")</f>
        <v>Average kW</v>
      </c>
      <c r="F30" s="75"/>
      <c r="G30" s="22"/>
      <c r="H30" s="22"/>
      <c r="I30" s="22"/>
      <c r="J30" s="22"/>
      <c r="K30" s="22"/>
    </row>
    <row r="31" spans="2:11" x14ac:dyDescent="0.25">
      <c r="C31" s="51"/>
      <c r="D31" s="51"/>
      <c r="E31" s="44"/>
      <c r="F31" s="44"/>
      <c r="G31" s="23"/>
      <c r="H31" s="23"/>
    </row>
    <row r="32" spans="2:11" ht="29.25" customHeight="1" x14ac:dyDescent="0.25">
      <c r="C32" s="107" t="s">
        <v>13</v>
      </c>
      <c r="D32" s="107"/>
      <c r="E32" s="107"/>
      <c r="F32" s="107"/>
      <c r="G32" s="23"/>
      <c r="H32" s="23"/>
    </row>
    <row r="33" spans="3:7" x14ac:dyDescent="0.25">
      <c r="C33" s="53" t="s">
        <v>14</v>
      </c>
      <c r="D33" s="53" t="s">
        <v>15</v>
      </c>
      <c r="E33" s="53" t="s">
        <v>16</v>
      </c>
      <c r="F33" s="53" t="s">
        <v>17</v>
      </c>
    </row>
    <row r="34" spans="3:7" x14ac:dyDescent="0.25">
      <c r="C34" s="54" t="s">
        <v>18</v>
      </c>
      <c r="D34" s="55">
        <f>$C$17</f>
        <v>4000</v>
      </c>
      <c r="E34" s="55">
        <f>MIN($C$16,$D34/$C$25*$C$24)</f>
        <v>992</v>
      </c>
      <c r="F34" s="88">
        <f>$D$58*MIN($E34, Nameplate_Power_kW)</f>
        <v>322400</v>
      </c>
      <c r="G34" s="62"/>
    </row>
    <row r="35" spans="3:7" x14ac:dyDescent="0.25">
      <c r="C35" s="83" t="s">
        <v>19</v>
      </c>
      <c r="D35" s="84">
        <f t="shared" ref="D35:D43" si="0">D34*(1-$C$23)</f>
        <v>3900</v>
      </c>
      <c r="E35" s="84">
        <f t="shared" ref="E35:E43" si="1">MIN($C$16,$D35/$C$25*$C$24)</f>
        <v>967.2</v>
      </c>
      <c r="F35" s="89">
        <f>$D$58*MIN($E35, Nameplate_Power_kW)</f>
        <v>314340</v>
      </c>
      <c r="G35" s="62"/>
    </row>
    <row r="36" spans="3:7" x14ac:dyDescent="0.25">
      <c r="C36" s="54" t="s">
        <v>20</v>
      </c>
      <c r="D36" s="55">
        <f t="shared" si="0"/>
        <v>3802.5</v>
      </c>
      <c r="E36" s="55">
        <f t="shared" si="1"/>
        <v>943.02</v>
      </c>
      <c r="F36" s="88">
        <f>$D$58*MIN($E36, Nameplate_Power_kW)</f>
        <v>306481.5</v>
      </c>
      <c r="G36" s="62"/>
    </row>
    <row r="37" spans="3:7" x14ac:dyDescent="0.25">
      <c r="C37" s="83" t="s">
        <v>21</v>
      </c>
      <c r="D37" s="84">
        <f t="shared" si="0"/>
        <v>3707.4375</v>
      </c>
      <c r="E37" s="84">
        <f t="shared" si="1"/>
        <v>919.44449999999995</v>
      </c>
      <c r="F37" s="89">
        <f>$D$58*MIN($E37, Nameplate_Power_kW)</f>
        <v>298819.46249999997</v>
      </c>
      <c r="G37" s="62"/>
    </row>
    <row r="38" spans="3:7" x14ac:dyDescent="0.25">
      <c r="C38" s="54" t="s">
        <v>22</v>
      </c>
      <c r="D38" s="55">
        <f t="shared" si="0"/>
        <v>3614.7515625000001</v>
      </c>
      <c r="E38" s="55">
        <f t="shared" si="1"/>
        <v>896.45838749999996</v>
      </c>
      <c r="F38" s="88">
        <f>$D$58*MIN($E38, Nameplate_Power_kW)</f>
        <v>291348.97593750001</v>
      </c>
      <c r="G38" s="62"/>
    </row>
    <row r="39" spans="3:7" x14ac:dyDescent="0.25">
      <c r="C39" s="83" t="s">
        <v>23</v>
      </c>
      <c r="D39" s="84">
        <f t="shared" si="0"/>
        <v>3524.3827734375</v>
      </c>
      <c r="E39" s="84">
        <f t="shared" si="1"/>
        <v>874.04692781249992</v>
      </c>
      <c r="F39" s="89">
        <f>175*MIN($E39, Nameplate_Power_kW)</f>
        <v>152958.21236718749</v>
      </c>
      <c r="G39" s="62"/>
    </row>
    <row r="40" spans="3:7" x14ac:dyDescent="0.25">
      <c r="C40" s="54" t="s">
        <v>24</v>
      </c>
      <c r="D40" s="55">
        <f t="shared" si="0"/>
        <v>3436.2732041015624</v>
      </c>
      <c r="E40" s="55">
        <f t="shared" si="1"/>
        <v>852.1957546171875</v>
      </c>
      <c r="F40" s="88">
        <f>175*MIN($E40, Nameplate_Power_kW)</f>
        <v>149134.25705800782</v>
      </c>
      <c r="G40" s="62"/>
    </row>
    <row r="41" spans="3:7" x14ac:dyDescent="0.25">
      <c r="C41" s="83" t="s">
        <v>25</v>
      </c>
      <c r="D41" s="84">
        <f t="shared" si="0"/>
        <v>3350.3663739990234</v>
      </c>
      <c r="E41" s="84">
        <f t="shared" si="1"/>
        <v>830.89086075175783</v>
      </c>
      <c r="F41" s="89">
        <f>175*MIN($E41, Nameplate_Power_kW)</f>
        <v>145405.90063155763</v>
      </c>
      <c r="G41" s="62"/>
    </row>
    <row r="42" spans="3:7" x14ac:dyDescent="0.25">
      <c r="C42" s="54" t="s">
        <v>26</v>
      </c>
      <c r="D42" s="55">
        <f t="shared" si="0"/>
        <v>3266.6072146490478</v>
      </c>
      <c r="E42" s="55">
        <f t="shared" si="1"/>
        <v>810.11858923296381</v>
      </c>
      <c r="F42" s="88">
        <f>175*MIN($E42, Nameplate_Power_kW)</f>
        <v>141770.75311576866</v>
      </c>
      <c r="G42" s="62"/>
    </row>
    <row r="43" spans="3:7" x14ac:dyDescent="0.25">
      <c r="C43" s="83" t="s">
        <v>27</v>
      </c>
      <c r="D43" s="84">
        <f t="shared" si="0"/>
        <v>3184.9420342828216</v>
      </c>
      <c r="E43" s="84">
        <f t="shared" si="1"/>
        <v>789.86562450213978</v>
      </c>
      <c r="F43" s="89">
        <f>175*MIN($E43, Nameplate_Power_kW)</f>
        <v>138226.48428787445</v>
      </c>
      <c r="G43" s="62"/>
    </row>
    <row r="44" spans="3:7" x14ac:dyDescent="0.25">
      <c r="C44" s="54" t="s">
        <v>17</v>
      </c>
      <c r="D44" s="46"/>
      <c r="E44" s="46"/>
      <c r="F44" s="54">
        <f>SUM(F34:F43)</f>
        <v>2260885.5458978959</v>
      </c>
    </row>
    <row r="45" spans="3:7" x14ac:dyDescent="0.25">
      <c r="C45"/>
      <c r="D45"/>
      <c r="E45"/>
      <c r="F45"/>
    </row>
    <row r="46" spans="3:7" x14ac:dyDescent="0.25">
      <c r="C46"/>
      <c r="D46"/>
      <c r="E46"/>
      <c r="F46"/>
    </row>
    <row r="47" spans="3:7" x14ac:dyDescent="0.25">
      <c r="C47" s="97" t="s">
        <v>163</v>
      </c>
      <c r="D47" s="97"/>
    </row>
    <row r="48" spans="3:7" x14ac:dyDescent="0.25">
      <c r="C48" s="58" t="s">
        <v>144</v>
      </c>
      <c r="D48" s="42">
        <f>IF(C21="None",0,10)</f>
        <v>10</v>
      </c>
      <c r="E48"/>
      <c r="F48"/>
    </row>
    <row r="49" spans="3:6" x14ac:dyDescent="0.25">
      <c r="C49" s="97" t="s">
        <v>28</v>
      </c>
      <c r="D49" s="97"/>
      <c r="E49"/>
      <c r="F49"/>
    </row>
    <row r="50" spans="3:6" x14ac:dyDescent="0.25">
      <c r="C50" s="58" t="s">
        <v>39</v>
      </c>
      <c r="D50" s="41" t="str">
        <f>IF(Annual_Average_Demand_kW&lt;200,"Small C&amp;I",IF(Annual_Average_Demand_kW&lt;500,"Medium C&amp;I","Large C&amp;I"))</f>
        <v>Small C&amp;I</v>
      </c>
      <c r="E50"/>
      <c r="F50"/>
    </row>
    <row r="51" spans="3:6" x14ac:dyDescent="0.25">
      <c r="C51" s="58" t="s">
        <v>40</v>
      </c>
      <c r="D51" s="92">
        <f>StepSelector</f>
        <v>2026</v>
      </c>
      <c r="E51"/>
      <c r="F51"/>
    </row>
    <row r="52" spans="3:6" x14ac:dyDescent="0.25">
      <c r="C52" s="58" t="s">
        <v>141</v>
      </c>
      <c r="D52" s="93">
        <v>325</v>
      </c>
      <c r="E52"/>
      <c r="F52"/>
    </row>
    <row r="53" spans="3:6" x14ac:dyDescent="0.25">
      <c r="C53" s="58" t="s">
        <v>140</v>
      </c>
      <c r="D53" s="93">
        <v>325</v>
      </c>
      <c r="E53"/>
      <c r="F53"/>
    </row>
    <row r="54" spans="3:6" x14ac:dyDescent="0.25">
      <c r="C54" s="58" t="s">
        <v>136</v>
      </c>
      <c r="D54" s="93">
        <v>275</v>
      </c>
      <c r="E54"/>
      <c r="F54" s="19"/>
    </row>
    <row r="55" spans="3:6" x14ac:dyDescent="0.25">
      <c r="C55" s="58" t="s">
        <v>142</v>
      </c>
      <c r="D55" s="93">
        <v>175</v>
      </c>
      <c r="E55"/>
      <c r="F55" s="19"/>
    </row>
    <row r="56" spans="3:6" x14ac:dyDescent="0.25">
      <c r="C56" s="58" t="s">
        <v>143</v>
      </c>
      <c r="D56" s="93">
        <v>175</v>
      </c>
      <c r="E56"/>
      <c r="F56" s="19"/>
    </row>
    <row r="57" spans="3:6" x14ac:dyDescent="0.25">
      <c r="C57" s="58" t="s">
        <v>137</v>
      </c>
      <c r="D57" s="93">
        <v>175</v>
      </c>
      <c r="E57"/>
      <c r="F57"/>
    </row>
    <row r="58" spans="3:6" x14ac:dyDescent="0.25">
      <c r="C58" s="66" t="s">
        <v>138</v>
      </c>
      <c r="D58" s="94">
        <f>IF(Customer_Class="Small C&amp;I",SmallTierRate,IF(Customer_Class="Medium C&amp;I",D53,LargeTierRate))</f>
        <v>325</v>
      </c>
      <c r="E58"/>
      <c r="F58"/>
    </row>
    <row r="59" spans="3:6" x14ac:dyDescent="0.25">
      <c r="C59" s="66" t="s">
        <v>139</v>
      </c>
      <c r="D59" s="94">
        <v>175</v>
      </c>
      <c r="E59"/>
      <c r="F59"/>
    </row>
    <row r="60" spans="3:6" x14ac:dyDescent="0.25">
      <c r="E60"/>
      <c r="F60" s="19"/>
    </row>
    <row r="61" spans="3:6" x14ac:dyDescent="0.25">
      <c r="C61" s="58"/>
      <c r="D61" s="42"/>
      <c r="E61"/>
      <c r="F61" s="19"/>
    </row>
    <row r="62" spans="3:6" x14ac:dyDescent="0.25">
      <c r="C62" s="58"/>
      <c r="D62" s="42"/>
      <c r="E62"/>
      <c r="F62"/>
    </row>
    <row r="65" spans="3:7" ht="12.75" customHeight="1" x14ac:dyDescent="0.25">
      <c r="G65" s="22"/>
    </row>
    <row r="66" spans="3:7" x14ac:dyDescent="0.25">
      <c r="C66"/>
      <c r="D66"/>
      <c r="E66"/>
      <c r="F66"/>
      <c r="G66" s="22"/>
    </row>
    <row r="67" spans="3:7" x14ac:dyDescent="0.25">
      <c r="C67"/>
      <c r="D67"/>
      <c r="E67"/>
      <c r="F67"/>
      <c r="G67" s="22"/>
    </row>
    <row r="68" spans="3:7" x14ac:dyDescent="0.25">
      <c r="C68"/>
      <c r="D68"/>
      <c r="E68"/>
      <c r="F68"/>
      <c r="G68" s="22"/>
    </row>
    <row r="69" spans="3:7" x14ac:dyDescent="0.25">
      <c r="C69"/>
      <c r="D69"/>
      <c r="E69"/>
      <c r="F69"/>
    </row>
    <row r="70" spans="3:7" x14ac:dyDescent="0.25">
      <c r="C70"/>
      <c r="D70"/>
      <c r="E70"/>
      <c r="F70"/>
    </row>
    <row r="71" spans="3:7" x14ac:dyDescent="0.25">
      <c r="F71" s="24"/>
    </row>
  </sheetData>
  <mergeCells count="14">
    <mergeCell ref="C3:F5"/>
    <mergeCell ref="C6:F6"/>
    <mergeCell ref="E20:F20"/>
    <mergeCell ref="C9:F10"/>
    <mergeCell ref="C47:D47"/>
    <mergeCell ref="C32:F32"/>
    <mergeCell ref="C49:D49"/>
    <mergeCell ref="E24:F24"/>
    <mergeCell ref="C22:D22"/>
    <mergeCell ref="C15:D15"/>
    <mergeCell ref="C19:D19"/>
    <mergeCell ref="E15:F15"/>
    <mergeCell ref="C12:F14"/>
    <mergeCell ref="C27:F27"/>
  </mergeCells>
  <conditionalFormatting sqref="F21 E20">
    <cfRule type="containsText" dxfId="1" priority="11" operator="containsText" text="this project">
      <formula>NOT(ISERROR(SEARCH("this project",E20)))</formula>
    </cfRule>
  </conditionalFormatting>
  <conditionalFormatting sqref="F21">
    <cfRule type="containsText" dxfId="0" priority="10" operator="containsText" text="small">
      <formula>NOT(ISERROR(SEARCH("small",F21)))</formula>
    </cfRule>
  </conditionalFormatting>
  <pageMargins left="0.7" right="0.7" top="0.75" bottom="0.75" header="0.3" footer="0.3"/>
  <pageSetup scale="60" fitToHeight="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E850E4F9-272C-460C-9E98-67DEC6DFA9AD}">
          <x14:formula1>
            <xm:f>Picklists!$C$2:$C$10</xm:f>
          </x14:formula1>
          <xm:sqref>C23</xm:sqref>
        </x14:dataValidation>
        <x14:dataValidation type="list" allowBlank="1" showInputMessage="1" showErrorMessage="1" promptTitle="Priority Status" prompt="Only customers with an Annual Peak Demand &lt; 200 kW qualify for the &quot;Small Business&quot; adder. Priority Adders are not stackable." xr:uid="{E7F4D56C-D933-4831-82E9-E8F209C233DE}">
          <x14:formula1>
            <xm:f>Picklists!$I$2:$I$6</xm:f>
          </x14:formula1>
          <xm:sqref>C21</xm:sqref>
        </x14:dataValidation>
        <x14:dataValidation type="list" allowBlank="1" showInputMessage="1" showErrorMessage="1" xr:uid="{04C61B06-7119-4523-BF1E-2D25B492BCCC}">
          <x14:formula1>
            <xm:f>Picklists!$J$2:$J$22</xm:f>
          </x14:formula1>
          <xm:sqref>C25</xm:sqref>
        </x14:dataValidation>
        <x14:dataValidation type="list" allowBlank="1" showInputMessage="1" showErrorMessage="1" xr:uid="{89987A6F-7DEC-4FF6-82BB-6D1DF9FDB5AB}">
          <x14:formula1>
            <xm:f>Picklists!$D$2:$D$5</xm:f>
          </x14:formula1>
          <xm:sqref>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7153-FD36-47FD-A8E0-BF568FD7F21F}">
  <dimension ref="A1:E11"/>
  <sheetViews>
    <sheetView workbookViewId="0">
      <selection activeCell="D8" sqref="D8"/>
    </sheetView>
  </sheetViews>
  <sheetFormatPr defaultRowHeight="13.2" x14ac:dyDescent="0.25"/>
  <cols>
    <col min="1" max="1" width="11.6640625" customWidth="1"/>
    <col min="2" max="3" width="19.44140625" customWidth="1"/>
    <col min="4" max="4" width="86.6640625" bestFit="1" customWidth="1"/>
    <col min="5" max="5" width="19.44140625" customWidth="1"/>
  </cols>
  <sheetData>
    <row r="1" spans="1:5" x14ac:dyDescent="0.25">
      <c r="A1" s="65" t="s">
        <v>41</v>
      </c>
      <c r="B1" s="65" t="s">
        <v>42</v>
      </c>
      <c r="C1" s="65" t="s">
        <v>43</v>
      </c>
      <c r="D1" s="65" t="s">
        <v>44</v>
      </c>
      <c r="E1" s="2"/>
    </row>
    <row r="2" spans="1:5" x14ac:dyDescent="0.25">
      <c r="A2" s="63">
        <v>45880</v>
      </c>
      <c r="B2" s="111" t="s">
        <v>45</v>
      </c>
      <c r="C2" s="111">
        <v>6.2</v>
      </c>
      <c r="D2" t="s">
        <v>46</v>
      </c>
    </row>
    <row r="3" spans="1:5" x14ac:dyDescent="0.25">
      <c r="A3" s="63">
        <v>45880</v>
      </c>
      <c r="B3" s="111" t="s">
        <v>45</v>
      </c>
      <c r="C3" s="111">
        <v>6.2</v>
      </c>
      <c r="D3" t="s">
        <v>47</v>
      </c>
    </row>
    <row r="4" spans="1:5" x14ac:dyDescent="0.25">
      <c r="A4" s="63">
        <v>45880</v>
      </c>
      <c r="B4" s="111" t="s">
        <v>45</v>
      </c>
      <c r="C4" s="111">
        <v>6.2</v>
      </c>
      <c r="D4" t="s">
        <v>133</v>
      </c>
    </row>
    <row r="5" spans="1:5" x14ac:dyDescent="0.25">
      <c r="A5" s="63">
        <v>45931</v>
      </c>
      <c r="B5" s="111">
        <v>6.2</v>
      </c>
      <c r="C5" s="111">
        <v>6.3</v>
      </c>
      <c r="D5" t="s">
        <v>132</v>
      </c>
    </row>
    <row r="6" spans="1:5" x14ac:dyDescent="0.25">
      <c r="A6" s="63">
        <v>46050</v>
      </c>
      <c r="B6" s="111">
        <v>6.3</v>
      </c>
      <c r="C6" s="111" t="s">
        <v>166</v>
      </c>
      <c r="D6" t="s">
        <v>165</v>
      </c>
    </row>
    <row r="7" spans="1:5" x14ac:dyDescent="0.25">
      <c r="A7" s="63">
        <v>46052</v>
      </c>
      <c r="B7" s="112" t="s">
        <v>166</v>
      </c>
      <c r="C7" s="111">
        <v>7.1</v>
      </c>
      <c r="D7" t="s">
        <v>168</v>
      </c>
    </row>
    <row r="11" spans="1:5" x14ac:dyDescent="0.25">
      <c r="D11" s="64"/>
    </row>
  </sheetData>
  <sheetProtection sheet="1" objects="1" scenarios="1"/>
  <pageMargins left="0.7" right="0.7" top="0.75" bottom="0.75" header="0.3" footer="0.3"/>
  <ignoredErrors>
    <ignoredError sqref="C6 B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882A-B421-4921-B91E-92AC6D4C421A}">
  <dimension ref="A1:Y39"/>
  <sheetViews>
    <sheetView topLeftCell="B6" workbookViewId="0">
      <selection activeCell="H41" sqref="H41"/>
    </sheetView>
  </sheetViews>
  <sheetFormatPr defaultRowHeight="13.2" x14ac:dyDescent="0.25"/>
  <cols>
    <col min="1" max="1" width="4.33203125" bestFit="1" customWidth="1"/>
    <col min="2" max="2" width="15.5546875" bestFit="1" customWidth="1"/>
    <col min="3" max="3" width="14.5546875" bestFit="1" customWidth="1"/>
    <col min="4" max="4" width="16.88671875" bestFit="1" customWidth="1"/>
    <col min="5" max="5" width="10.5546875" bestFit="1" customWidth="1"/>
    <col min="6" max="6" width="18.109375" bestFit="1" customWidth="1"/>
    <col min="7" max="7" width="11.109375" bestFit="1" customWidth="1"/>
    <col min="8" max="8" width="35.6640625" bestFit="1" customWidth="1"/>
    <col min="9" max="9" width="18.109375" bestFit="1" customWidth="1"/>
    <col min="12" max="12" width="18.33203125" customWidth="1"/>
    <col min="13" max="13" width="7" bestFit="1" customWidth="1"/>
    <col min="14" max="14" width="5.88671875" bestFit="1" customWidth="1"/>
    <col min="16" max="16" width="21" customWidth="1"/>
    <col min="17" max="17" width="18" bestFit="1" customWidth="1"/>
    <col min="18" max="18" width="19.6640625" bestFit="1" customWidth="1"/>
    <col min="19" max="19" width="11.44140625" bestFit="1" customWidth="1"/>
    <col min="22" max="22" width="15.33203125" bestFit="1" customWidth="1"/>
    <col min="24" max="24" width="10.44140625" customWidth="1"/>
  </cols>
  <sheetData>
    <row r="1" spans="1:25" s="2" customFormat="1" x14ac:dyDescent="0.25">
      <c r="A1" s="2" t="s">
        <v>48</v>
      </c>
      <c r="B1" s="2" t="s">
        <v>49</v>
      </c>
      <c r="C1" s="2" t="s">
        <v>50</v>
      </c>
      <c r="D1" s="2" t="s">
        <v>134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V1" s="2" t="s">
        <v>40</v>
      </c>
      <c r="W1" s="2" t="s">
        <v>57</v>
      </c>
      <c r="X1" s="2" t="s">
        <v>58</v>
      </c>
      <c r="Y1" s="2" t="s">
        <v>59</v>
      </c>
    </row>
    <row r="2" spans="1:25" x14ac:dyDescent="0.25">
      <c r="A2" t="s">
        <v>60</v>
      </c>
      <c r="B2" s="1">
        <v>1</v>
      </c>
      <c r="C2" s="3">
        <v>0</v>
      </c>
      <c r="D2">
        <v>2026</v>
      </c>
      <c r="E2" t="s">
        <v>62</v>
      </c>
      <c r="F2" t="s">
        <v>37</v>
      </c>
      <c r="G2" t="s">
        <v>29</v>
      </c>
      <c r="H2" t="s">
        <v>6</v>
      </c>
      <c r="I2" t="s">
        <v>37</v>
      </c>
      <c r="J2">
        <v>1</v>
      </c>
      <c r="V2" t="s">
        <v>61</v>
      </c>
      <c r="W2" s="19">
        <v>200</v>
      </c>
      <c r="X2" s="19">
        <v>175</v>
      </c>
      <c r="Y2" s="19">
        <v>100</v>
      </c>
    </row>
    <row r="3" spans="1:25" x14ac:dyDescent="0.25">
      <c r="A3" t="s">
        <v>8</v>
      </c>
      <c r="B3" s="1">
        <v>0.95</v>
      </c>
      <c r="C3" s="3">
        <v>5.0000000000000001E-3</v>
      </c>
      <c r="D3" s="3"/>
      <c r="E3" t="s">
        <v>64</v>
      </c>
      <c r="F3" t="s">
        <v>65</v>
      </c>
      <c r="G3" t="s">
        <v>31</v>
      </c>
      <c r="H3" t="s">
        <v>66</v>
      </c>
      <c r="I3" t="s">
        <v>67</v>
      </c>
      <c r="J3">
        <v>1.1000000000000001</v>
      </c>
      <c r="V3" t="s">
        <v>63</v>
      </c>
      <c r="W3" s="19">
        <v>182</v>
      </c>
      <c r="X3" s="19">
        <v>159.25</v>
      </c>
      <c r="Y3" s="19">
        <v>91</v>
      </c>
    </row>
    <row r="4" spans="1:25" ht="15.6" x14ac:dyDescent="0.3">
      <c r="B4" s="1">
        <v>0.9</v>
      </c>
      <c r="C4" s="3">
        <v>0.01</v>
      </c>
      <c r="D4" s="3"/>
      <c r="F4" t="s">
        <v>68</v>
      </c>
      <c r="G4" t="s">
        <v>33</v>
      </c>
      <c r="H4" t="s">
        <v>69</v>
      </c>
      <c r="I4" t="s">
        <v>65</v>
      </c>
      <c r="J4">
        <v>1.2</v>
      </c>
      <c r="L4" s="4" t="s">
        <v>70</v>
      </c>
      <c r="M4" s="4"/>
      <c r="N4" s="4"/>
      <c r="Q4" s="4" t="s">
        <v>71</v>
      </c>
      <c r="V4" t="s">
        <v>34</v>
      </c>
      <c r="W4" s="19">
        <v>164</v>
      </c>
      <c r="X4" s="19">
        <v>143.5</v>
      </c>
      <c r="Y4" s="19">
        <v>82</v>
      </c>
    </row>
    <row r="5" spans="1:25" ht="15.6" x14ac:dyDescent="0.3">
      <c r="B5" s="1">
        <v>0.85</v>
      </c>
      <c r="C5" s="3">
        <v>1.4999999999999999E-2</v>
      </c>
      <c r="D5" s="3"/>
      <c r="F5" t="s">
        <v>73</v>
      </c>
      <c r="G5" t="s">
        <v>74</v>
      </c>
      <c r="H5" t="s">
        <v>75</v>
      </c>
      <c r="I5" t="s">
        <v>68</v>
      </c>
      <c r="J5">
        <v>1.3</v>
      </c>
      <c r="L5" s="5" t="s">
        <v>76</v>
      </c>
      <c r="M5" s="5" t="s">
        <v>77</v>
      </c>
      <c r="N5" s="5" t="s">
        <v>78</v>
      </c>
      <c r="P5" s="6"/>
      <c r="Q5" s="5" t="s">
        <v>76</v>
      </c>
      <c r="R5" s="5" t="s">
        <v>79</v>
      </c>
      <c r="V5" t="s">
        <v>72</v>
      </c>
      <c r="W5" s="19">
        <v>146</v>
      </c>
      <c r="X5" s="19">
        <v>127.75</v>
      </c>
      <c r="Y5" s="19">
        <v>73</v>
      </c>
    </row>
    <row r="6" spans="1:25" ht="15" x14ac:dyDescent="0.25">
      <c r="B6" s="1">
        <v>0.8</v>
      </c>
      <c r="C6" s="3">
        <v>0.02</v>
      </c>
      <c r="D6" s="3"/>
      <c r="H6" t="s">
        <v>80</v>
      </c>
      <c r="I6" t="s">
        <v>73</v>
      </c>
      <c r="J6">
        <v>1.4</v>
      </c>
      <c r="L6" s="7" t="s">
        <v>66</v>
      </c>
      <c r="M6" s="8">
        <v>1311.6666666666667</v>
      </c>
      <c r="N6" s="9">
        <v>8</v>
      </c>
      <c r="Q6" s="10" t="s">
        <v>81</v>
      </c>
      <c r="R6" s="11">
        <v>45510</v>
      </c>
      <c r="S6" s="18" t="s">
        <v>82</v>
      </c>
    </row>
    <row r="7" spans="1:25" ht="15" x14ac:dyDescent="0.25">
      <c r="B7" s="1">
        <v>0.75</v>
      </c>
      <c r="C7" s="3">
        <v>2.5000000000000001E-2</v>
      </c>
      <c r="D7" s="3"/>
      <c r="H7" t="s">
        <v>83</v>
      </c>
      <c r="J7">
        <v>1.5</v>
      </c>
      <c r="L7" s="12" t="s">
        <v>69</v>
      </c>
      <c r="M7" s="13">
        <v>1283.3333333333333</v>
      </c>
      <c r="N7" s="14">
        <v>12</v>
      </c>
      <c r="Q7" s="10" t="s">
        <v>84</v>
      </c>
      <c r="R7" s="11">
        <v>45916</v>
      </c>
      <c r="S7" s="18" t="s">
        <v>85</v>
      </c>
    </row>
    <row r="8" spans="1:25" ht="15" x14ac:dyDescent="0.25">
      <c r="B8" s="1">
        <v>0.7</v>
      </c>
      <c r="C8" s="3">
        <v>0.03</v>
      </c>
      <c r="D8" s="3"/>
      <c r="H8" t="s">
        <v>86</v>
      </c>
      <c r="J8">
        <v>1.6</v>
      </c>
      <c r="L8" s="12" t="s">
        <v>80</v>
      </c>
      <c r="M8" s="13">
        <v>1188</v>
      </c>
      <c r="N8" s="14">
        <v>21</v>
      </c>
      <c r="Q8" s="10" t="s">
        <v>87</v>
      </c>
      <c r="R8" s="11">
        <v>45916</v>
      </c>
      <c r="S8" s="18" t="s">
        <v>85</v>
      </c>
    </row>
    <row r="9" spans="1:25" ht="15" x14ac:dyDescent="0.25">
      <c r="B9" s="1">
        <v>0.65</v>
      </c>
      <c r="C9" s="3">
        <v>3.5000000000000003E-2</v>
      </c>
      <c r="D9" s="3"/>
      <c r="H9" t="s">
        <v>88</v>
      </c>
      <c r="J9">
        <v>1.7</v>
      </c>
      <c r="L9" s="12" t="s">
        <v>83</v>
      </c>
      <c r="M9" s="13">
        <v>1299.3333333333333</v>
      </c>
      <c r="N9" s="14">
        <v>10</v>
      </c>
      <c r="Q9" s="10" t="s">
        <v>89</v>
      </c>
      <c r="R9" s="11">
        <v>46275</v>
      </c>
      <c r="S9" s="18" t="s">
        <v>90</v>
      </c>
    </row>
    <row r="10" spans="1:25" ht="15" x14ac:dyDescent="0.25">
      <c r="B10" s="1">
        <v>0.6</v>
      </c>
      <c r="C10" s="3">
        <v>0.04</v>
      </c>
      <c r="D10" s="3"/>
      <c r="H10" t="s">
        <v>91</v>
      </c>
      <c r="J10">
        <v>1.8</v>
      </c>
      <c r="L10" s="12" t="s">
        <v>86</v>
      </c>
      <c r="M10" s="13">
        <v>1318.3333333333333</v>
      </c>
      <c r="N10" s="14">
        <v>5</v>
      </c>
      <c r="Q10" s="10" t="s">
        <v>92</v>
      </c>
      <c r="R10" s="11">
        <v>46275</v>
      </c>
      <c r="S10" s="18" t="s">
        <v>90</v>
      </c>
    </row>
    <row r="11" spans="1:25" ht="15" x14ac:dyDescent="0.25">
      <c r="B11" s="1">
        <v>0.55000000000000004</v>
      </c>
      <c r="C11" s="3">
        <v>4.4999999999999998E-2</v>
      </c>
      <c r="D11" s="3"/>
      <c r="H11" t="s">
        <v>93</v>
      </c>
      <c r="J11">
        <v>1.9</v>
      </c>
      <c r="L11" s="12" t="s">
        <v>88</v>
      </c>
      <c r="M11" s="13">
        <v>1133.3333333333333</v>
      </c>
      <c r="N11" s="14">
        <v>25</v>
      </c>
      <c r="Q11" s="10" t="s">
        <v>94</v>
      </c>
      <c r="R11" s="11">
        <v>46663</v>
      </c>
      <c r="S11" s="18" t="s">
        <v>95</v>
      </c>
    </row>
    <row r="12" spans="1:25" ht="15" x14ac:dyDescent="0.25">
      <c r="B12" s="1">
        <v>0.5</v>
      </c>
      <c r="C12" s="3">
        <v>0.05</v>
      </c>
      <c r="D12" s="3"/>
      <c r="H12" t="s">
        <v>96</v>
      </c>
      <c r="J12">
        <v>2</v>
      </c>
      <c r="L12" s="12" t="s">
        <v>91</v>
      </c>
      <c r="M12" s="13">
        <v>1360</v>
      </c>
      <c r="N12" s="14">
        <v>2</v>
      </c>
      <c r="Q12" s="10" t="s">
        <v>97</v>
      </c>
      <c r="R12" s="11">
        <v>47030</v>
      </c>
      <c r="S12" s="18" t="s">
        <v>98</v>
      </c>
    </row>
    <row r="13" spans="1:25" ht="15" x14ac:dyDescent="0.25">
      <c r="B13" s="1">
        <v>0.45</v>
      </c>
      <c r="C13" s="3">
        <v>5.5E-2</v>
      </c>
      <c r="D13" s="3"/>
      <c r="H13" t="s">
        <v>99</v>
      </c>
      <c r="J13">
        <v>2.1</v>
      </c>
      <c r="L13" s="12" t="s">
        <v>96</v>
      </c>
      <c r="M13" s="13">
        <v>1348.3333333333333</v>
      </c>
      <c r="N13" s="14">
        <v>3</v>
      </c>
      <c r="Q13" s="10" t="s">
        <v>100</v>
      </c>
      <c r="R13" s="11">
        <v>47030</v>
      </c>
      <c r="S13" s="18" t="s">
        <v>98</v>
      </c>
    </row>
    <row r="14" spans="1:25" ht="15" x14ac:dyDescent="0.25">
      <c r="B14" s="1">
        <v>0.39999999999999902</v>
      </c>
      <c r="C14" s="3">
        <v>0.06</v>
      </c>
      <c r="D14" s="2" t="s">
        <v>101</v>
      </c>
      <c r="H14" t="s">
        <v>102</v>
      </c>
      <c r="J14">
        <v>2.2000000000000002</v>
      </c>
      <c r="L14" s="12" t="s">
        <v>102</v>
      </c>
      <c r="M14" s="13">
        <v>1202.3333333333335</v>
      </c>
      <c r="N14" s="14">
        <v>18</v>
      </c>
      <c r="Q14" s="10" t="s">
        <v>103</v>
      </c>
      <c r="R14" s="11">
        <v>47030</v>
      </c>
      <c r="S14" s="18" t="s">
        <v>98</v>
      </c>
    </row>
    <row r="15" spans="1:25" ht="15" x14ac:dyDescent="0.25">
      <c r="B15" s="1">
        <v>0.34999999999999898</v>
      </c>
      <c r="C15" s="3">
        <v>6.5000000000000002E-2</v>
      </c>
      <c r="D15" t="s">
        <v>104</v>
      </c>
      <c r="H15" t="s">
        <v>105</v>
      </c>
      <c r="J15">
        <v>2.2999999999999998</v>
      </c>
      <c r="L15" s="12" t="s">
        <v>105</v>
      </c>
      <c r="M15" s="13">
        <v>1229.6666666666665</v>
      </c>
      <c r="N15" s="14">
        <v>16</v>
      </c>
      <c r="Q15" s="10" t="s">
        <v>106</v>
      </c>
      <c r="R15" s="11">
        <v>47030</v>
      </c>
      <c r="S15" s="18" t="s">
        <v>98</v>
      </c>
    </row>
    <row r="16" spans="1:25" ht="15" x14ac:dyDescent="0.25">
      <c r="B16" s="1">
        <v>0.29999999999999899</v>
      </c>
      <c r="C16" s="3">
        <v>7.0000000000000007E-2</v>
      </c>
      <c r="D16" s="3" t="s">
        <v>4</v>
      </c>
      <c r="H16" t="s">
        <v>107</v>
      </c>
      <c r="J16">
        <v>2.4</v>
      </c>
      <c r="L16" s="12" t="s">
        <v>107</v>
      </c>
      <c r="M16" s="13">
        <v>1198</v>
      </c>
      <c r="N16" s="14">
        <v>20</v>
      </c>
    </row>
    <row r="17" spans="2:14" ht="15" x14ac:dyDescent="0.25">
      <c r="B17" s="1">
        <v>0.249999999999999</v>
      </c>
      <c r="C17" s="3">
        <v>7.4999999999999997E-2</v>
      </c>
      <c r="D17" s="3"/>
      <c r="H17" t="s">
        <v>108</v>
      </c>
      <c r="J17">
        <v>2.5</v>
      </c>
      <c r="L17" s="12" t="s">
        <v>108</v>
      </c>
      <c r="M17" s="13">
        <v>1182.6666666666667</v>
      </c>
      <c r="N17" s="14">
        <v>22</v>
      </c>
    </row>
    <row r="18" spans="2:14" ht="15" x14ac:dyDescent="0.25">
      <c r="B18" s="1">
        <v>0.19999999999999901</v>
      </c>
      <c r="C18" s="3">
        <v>0.08</v>
      </c>
      <c r="D18" s="3"/>
      <c r="H18" t="s">
        <v>109</v>
      </c>
      <c r="J18">
        <v>2.6</v>
      </c>
      <c r="L18" s="12" t="s">
        <v>110</v>
      </c>
      <c r="M18" s="13">
        <v>1269.3333333333333</v>
      </c>
      <c r="N18" s="14">
        <v>13</v>
      </c>
    </row>
    <row r="19" spans="2:14" ht="15" x14ac:dyDescent="0.25">
      <c r="B19" s="1">
        <v>0.149999999999999</v>
      </c>
      <c r="C19" s="3">
        <v>8.5000000000000006E-2</v>
      </c>
      <c r="D19" s="3"/>
      <c r="H19" t="s">
        <v>110</v>
      </c>
      <c r="J19">
        <v>2.7</v>
      </c>
      <c r="L19" s="12" t="s">
        <v>111</v>
      </c>
      <c r="M19" s="13">
        <v>1346.6666666666667</v>
      </c>
      <c r="N19" s="14">
        <v>4</v>
      </c>
    </row>
    <row r="20" spans="2:14" ht="15" x14ac:dyDescent="0.25">
      <c r="B20" s="1">
        <v>9.9999999999999006E-2</v>
      </c>
      <c r="C20" s="3">
        <v>0.09</v>
      </c>
      <c r="D20" s="3"/>
      <c r="H20" t="s">
        <v>112</v>
      </c>
      <c r="J20">
        <v>2.8</v>
      </c>
      <c r="L20" s="12" t="s">
        <v>113</v>
      </c>
      <c r="M20" s="13">
        <v>1313</v>
      </c>
      <c r="N20" s="14">
        <v>7</v>
      </c>
    </row>
    <row r="21" spans="2:14" ht="15" x14ac:dyDescent="0.25">
      <c r="B21" s="1">
        <v>4.9999999999998997E-2</v>
      </c>
      <c r="C21" s="3">
        <v>9.5000000000000001E-2</v>
      </c>
      <c r="D21" s="3"/>
      <c r="H21" t="s">
        <v>111</v>
      </c>
      <c r="J21">
        <v>2.9</v>
      </c>
      <c r="L21" s="12" t="s">
        <v>114</v>
      </c>
      <c r="M21" s="13">
        <v>1199</v>
      </c>
      <c r="N21" s="14">
        <v>19</v>
      </c>
    </row>
    <row r="22" spans="2:14" ht="15" x14ac:dyDescent="0.25">
      <c r="B22" s="1">
        <v>0</v>
      </c>
      <c r="C22" s="3">
        <v>0.1</v>
      </c>
      <c r="D22" s="3"/>
      <c r="H22" t="s">
        <v>115</v>
      </c>
      <c r="J22">
        <v>3</v>
      </c>
      <c r="L22" s="12" t="s">
        <v>116</v>
      </c>
      <c r="M22" s="13">
        <v>1251.6666666666667</v>
      </c>
      <c r="N22" s="14">
        <v>14</v>
      </c>
    </row>
    <row r="23" spans="2:14" ht="15" x14ac:dyDescent="0.25">
      <c r="H23" t="s">
        <v>113</v>
      </c>
      <c r="L23" s="12" t="s">
        <v>117</v>
      </c>
      <c r="M23" s="13">
        <v>1287.3333333333333</v>
      </c>
      <c r="N23" s="14">
        <v>11</v>
      </c>
    </row>
    <row r="24" spans="2:14" ht="15" x14ac:dyDescent="0.25">
      <c r="H24" t="s">
        <v>118</v>
      </c>
      <c r="L24" s="12" t="s">
        <v>119</v>
      </c>
      <c r="M24" s="13">
        <v>1246.3333333333333</v>
      </c>
      <c r="N24" s="14">
        <v>15</v>
      </c>
    </row>
    <row r="25" spans="2:14" ht="15" x14ac:dyDescent="0.25">
      <c r="H25" t="s">
        <v>114</v>
      </c>
      <c r="L25" s="12" t="s">
        <v>120</v>
      </c>
      <c r="M25" s="13">
        <v>1316.3333333333333</v>
      </c>
      <c r="N25" s="14">
        <v>6</v>
      </c>
    </row>
    <row r="26" spans="2:14" ht="15" x14ac:dyDescent="0.25">
      <c r="H26" t="s">
        <v>121</v>
      </c>
      <c r="L26" s="12" t="s">
        <v>122</v>
      </c>
      <c r="M26" s="13">
        <v>1170.3333333333333</v>
      </c>
      <c r="N26" s="14">
        <v>24</v>
      </c>
    </row>
    <row r="27" spans="2:14" ht="15" x14ac:dyDescent="0.25">
      <c r="H27" t="s">
        <v>116</v>
      </c>
      <c r="L27" s="12" t="s">
        <v>123</v>
      </c>
      <c r="M27" s="13">
        <v>1301.6666666666667</v>
      </c>
      <c r="N27" s="14">
        <v>9</v>
      </c>
    </row>
    <row r="28" spans="2:14" ht="15" x14ac:dyDescent="0.25">
      <c r="H28" t="s">
        <v>117</v>
      </c>
      <c r="L28" s="12" t="s">
        <v>124</v>
      </c>
      <c r="M28" s="13">
        <v>1180.3333333333333</v>
      </c>
      <c r="N28" s="14">
        <v>23</v>
      </c>
    </row>
    <row r="29" spans="2:14" ht="15" x14ac:dyDescent="0.25">
      <c r="H29" t="s">
        <v>119</v>
      </c>
      <c r="L29" s="12" t="s">
        <v>125</v>
      </c>
      <c r="M29" s="13">
        <v>1224</v>
      </c>
      <c r="N29" s="14">
        <v>17</v>
      </c>
    </row>
    <row r="30" spans="2:14" ht="15" x14ac:dyDescent="0.25">
      <c r="H30" t="s">
        <v>126</v>
      </c>
      <c r="L30" s="15" t="s">
        <v>127</v>
      </c>
      <c r="M30" s="16">
        <v>1454.3333333333333</v>
      </c>
      <c r="N30" s="17">
        <v>1</v>
      </c>
    </row>
    <row r="31" spans="2:14" x14ac:dyDescent="0.25">
      <c r="H31" t="s">
        <v>120</v>
      </c>
    </row>
    <row r="32" spans="2:14" x14ac:dyDescent="0.25">
      <c r="H32" t="s">
        <v>122</v>
      </c>
    </row>
    <row r="33" spans="8:8" x14ac:dyDescent="0.25">
      <c r="H33" t="s">
        <v>123</v>
      </c>
    </row>
    <row r="34" spans="8:8" x14ac:dyDescent="0.25">
      <c r="H34" t="s">
        <v>124</v>
      </c>
    </row>
    <row r="35" spans="8:8" x14ac:dyDescent="0.25">
      <c r="H35" t="s">
        <v>125</v>
      </c>
    </row>
    <row r="36" spans="8:8" x14ac:dyDescent="0.25">
      <c r="H36" t="s">
        <v>127</v>
      </c>
    </row>
    <row r="39" spans="8:8" x14ac:dyDescent="0.25">
      <c r="H39" t="s">
        <v>128</v>
      </c>
    </row>
  </sheetData>
  <sortState xmlns:xlrd2="http://schemas.microsoft.com/office/spreadsheetml/2017/richdata2" ref="H3:H37">
    <sortCondition ref="H3:H37"/>
  </sortState>
  <phoneticPr fontId="5" type="noConversion"/>
  <pageMargins left="0.7" right="0.7" top="0.75" bottom="0.75" header="0.3" footer="0.3"/>
  <pageSetup orientation="portrait" verticalDpi="12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30647e-2852-4824-8010-b226207861fa" xsi:nil="true"/>
    <lcf76f155ced4ddcb4097134ff3c332f xmlns="f2870893-db66-4aa3-85e9-3efb17b0b061">
      <Terms xmlns="http://schemas.microsoft.com/office/infopath/2007/PartnerControls"/>
    </lcf76f155ced4ddcb4097134ff3c332f>
    <SharedWithUsers xmlns="1b30647e-2852-4824-8010-b226207861fa">
      <UserInfo>
        <DisplayName>Lawrence Taylor</DisplayName>
        <AccountId>678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48F674D6A6E4B968E3E1FAE1B9692" ma:contentTypeVersion="18" ma:contentTypeDescription="Create a new document." ma:contentTypeScope="" ma:versionID="2c02bda35fc498fca21f358c94f9a4c7">
  <xsd:schema xmlns:xsd="http://www.w3.org/2001/XMLSchema" xmlns:xs="http://www.w3.org/2001/XMLSchema" xmlns:p="http://schemas.microsoft.com/office/2006/metadata/properties" xmlns:ns2="f2870893-db66-4aa3-85e9-3efb17b0b061" xmlns:ns3="1b30647e-2852-4824-8010-b226207861fa" targetNamespace="http://schemas.microsoft.com/office/2006/metadata/properties" ma:root="true" ma:fieldsID="375cb3f436366db2f9451a5e2b7bea4b" ns2:_="" ns3:_="">
    <xsd:import namespace="f2870893-db66-4aa3-85e9-3efb17b0b061"/>
    <xsd:import namespace="1b30647e-2852-4824-8010-b22620786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70893-db66-4aa3-85e9-3efb17b0b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0647e-2852-4824-8010-b226207861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dface4-0c15-4f14-bd0b-80d2248220b1}" ma:internalName="TaxCatchAll" ma:showField="CatchAllData" ma:web="1b30647e-2852-4824-8010-b22620786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25236-DAD6-4A46-9C35-A44050F52141}">
  <ds:schemaRefs>
    <ds:schemaRef ds:uri="http://schemas.microsoft.com/office/2006/metadata/properties"/>
    <ds:schemaRef ds:uri="f2870893-db66-4aa3-85e9-3efb17b0b061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1b30647e-2852-4824-8010-b226207861f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C42BB1A-93CC-4756-B0EB-3B6FEEB97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7379DD-DFF7-4429-9B7F-1C73779B5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870893-db66-4aa3-85e9-3efb17b0b061"/>
    <ds:schemaRef ds:uri="1b30647e-2852-4824-8010-b22620786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Residential 1-4 Family (4-1-26)</vt:lpstr>
      <vt:lpstr>C&amp;I (4-1-26)</vt:lpstr>
      <vt:lpstr>Change Log</vt:lpstr>
      <vt:lpstr>Picklists</vt:lpstr>
      <vt:lpstr>Annual_Average_Demand_kW</vt:lpstr>
      <vt:lpstr>ApplicableUpfront</vt:lpstr>
      <vt:lpstr>Customer_Class</vt:lpstr>
      <vt:lpstr>EventDuration</vt:lpstr>
      <vt:lpstr>LargeTierRate</vt:lpstr>
      <vt:lpstr>Nameplate_Capacity_kWh</vt:lpstr>
      <vt:lpstr>Nameplate_Energy_Capacity_kW</vt:lpstr>
      <vt:lpstr>Nameplate_Energy_Capacity_kWH</vt:lpstr>
      <vt:lpstr>Nameplate_Energy_kWh</vt:lpstr>
      <vt:lpstr>Nameplate_kWh_CI</vt:lpstr>
      <vt:lpstr>Nameplate_Power_kW</vt:lpstr>
      <vt:lpstr>'Residential 1-4 Family (4-1-26)'!NameplatekW</vt:lpstr>
      <vt:lpstr>'Residential 1-4 Family (4-1-26)'!NameplatekWh</vt:lpstr>
      <vt:lpstr>'C&amp;I (4-1-26)'!Print_Area</vt:lpstr>
      <vt:lpstr>Small_Tier</vt:lpstr>
      <vt:lpstr>SmallTierRate</vt:lpstr>
      <vt:lpstr>StepSelector</vt:lpstr>
      <vt:lpstr>T3Steps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P. Kranich</dc:creator>
  <cp:keywords/>
  <dc:description/>
  <cp:lastModifiedBy>Edward P. Kranich</cp:lastModifiedBy>
  <cp:revision/>
  <dcterms:created xsi:type="dcterms:W3CDTF">2023-03-22T14:36:35Z</dcterms:created>
  <dcterms:modified xsi:type="dcterms:W3CDTF">2026-01-30T21:15:18Z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0x01010048E48F674D6A6E4B968E3E1FAE1B9692</vt:lpwstr>
  </property>
</Properties>
</file>